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ivi heures" sheetId="1" state="visible" r:id="rId1"/>
    <sheet xmlns:r="http://schemas.openxmlformats.org/officeDocument/2006/relationships" name="Synthèse" sheetId="2" state="visible" r:id="rId2"/>
    <sheet xmlns:r="http://schemas.openxmlformats.org/officeDocument/2006/relationships" name="Paramètres"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5">
    <numFmt numFmtId="164" formatCode="yyyy-mm-dd"/>
    <numFmt numFmtId="165" formatCode="DD/MM/YYYY"/>
    <numFmt numFmtId="166" formatCode="HH:MM"/>
    <numFmt numFmtId="167" formatCode="0.00&quot; h&quot;"/>
    <numFmt numFmtId="168" formatCode="#,##0.00&quot; €&quot;"/>
  </numFmts>
  <fonts count="8">
    <font>
      <name val="Calibri"/>
      <family val="2"/>
      <color theme="1"/>
      <sz val="11"/>
      <scheme val="minor"/>
    </font>
    <font>
      <name val="Calibri"/>
      <b val="1"/>
      <color rgb="00FFFFFF"/>
      <sz val="16"/>
    </font>
    <font>
      <name val="Calibri"/>
      <i val="1"/>
      <color rgb="006B7280"/>
      <sz val="10"/>
    </font>
    <font>
      <name val="Calibri"/>
      <b val="1"/>
      <color rgb="00FFFFFF"/>
      <sz val="11"/>
    </font>
    <font>
      <name val="Calibri"/>
      <color rgb="001F2937"/>
      <sz val="11"/>
    </font>
    <font>
      <name val="Calibri"/>
      <b val="1"/>
      <color rgb="001F2937"/>
      <sz val="11"/>
    </font>
    <font>
      <name val="Calibri"/>
      <b val="1"/>
      <color rgb="004A2AA5"/>
      <sz val="18"/>
    </font>
    <font>
      <name val="Calibri"/>
      <i val="1"/>
      <color rgb="00DC2626"/>
      <sz val="10"/>
    </font>
  </fonts>
  <fills count="9">
    <fill>
      <patternFill/>
    </fill>
    <fill>
      <patternFill patternType="gray125"/>
    </fill>
    <fill>
      <patternFill patternType="solid">
        <fgColor rgb="004A2AA5"/>
      </patternFill>
    </fill>
    <fill>
      <patternFill patternType="solid">
        <fgColor rgb="00FFFBEB"/>
      </patternFill>
    </fill>
    <fill>
      <patternFill patternType="solid">
        <fgColor rgb="00F1EDFB"/>
      </patternFill>
    </fill>
    <fill>
      <patternFill patternType="solid">
        <fgColor rgb="00FFFFFF"/>
      </patternFill>
    </fill>
    <fill>
      <patternFill patternType="solid">
        <fgColor rgb="00FF6B4A"/>
      </patternFill>
    </fill>
    <fill>
      <patternFill patternType="solid">
        <fgColor rgb="005D3BC4"/>
      </patternFill>
    </fill>
    <fill>
      <patternFill patternType="solid">
        <fgColor rgb="00FEF2F2"/>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horizontal="left" vertical="center" wrapText="1"/>
    </xf>
    <xf numFmtId="0" fontId="3" fillId="2" borderId="1" applyAlignment="1" pivotButton="0" quotePrefix="0" xfId="0">
      <alignment horizontal="center" vertical="center" wrapText="1"/>
    </xf>
    <xf numFmtId="0" fontId="4" fillId="3" borderId="1" applyAlignment="1" pivotButton="0" quotePrefix="0" xfId="0">
      <alignment horizontal="center" vertical="center" wrapText="1"/>
    </xf>
    <xf numFmtId="165" fontId="4" fillId="3" borderId="1" applyAlignment="1" pivotButton="0" quotePrefix="0" xfId="0">
      <alignment horizontal="center" vertical="center" wrapText="1"/>
    </xf>
    <xf numFmtId="0" fontId="4" fillId="3" borderId="1" applyAlignment="1" pivotButton="0" quotePrefix="0" xfId="0">
      <alignment horizontal="left" vertical="center" wrapText="1"/>
    </xf>
    <xf numFmtId="166" fontId="4" fillId="3" borderId="1" applyAlignment="1" pivotButton="0" quotePrefix="0" xfId="0">
      <alignment horizontal="center" vertical="center" wrapText="1"/>
    </xf>
    <xf numFmtId="167" fontId="4" fillId="4" borderId="1" applyAlignment="1" pivotButton="0" quotePrefix="0" xfId="0">
      <alignment horizontal="center" vertical="center" wrapText="1"/>
    </xf>
    <xf numFmtId="168" fontId="4" fillId="4" borderId="1" applyAlignment="1" pivotButton="0" quotePrefix="0" xfId="0">
      <alignment horizontal="center" vertical="center" wrapText="1"/>
    </xf>
    <xf numFmtId="9" fontId="4" fillId="3" borderId="1" applyAlignment="1" pivotButton="0" quotePrefix="0" xfId="0">
      <alignment horizontal="center" vertical="center" wrapText="1"/>
    </xf>
    <xf numFmtId="167" fontId="4" fillId="5" borderId="1" applyAlignment="1" pivotButton="0" quotePrefix="0" xfId="0">
      <alignment horizontal="center" vertical="center" wrapText="1"/>
    </xf>
    <xf numFmtId="168" fontId="4" fillId="5" borderId="1" applyAlignment="1" pivotButton="0" quotePrefix="0" xfId="0">
      <alignment horizontal="center" vertical="center" wrapText="1"/>
    </xf>
    <xf numFmtId="0" fontId="3" fillId="6" borderId="1" pivotButton="0" quotePrefix="0" xfId="0"/>
    <xf numFmtId="167" fontId="3" fillId="6" borderId="1" pivotButton="0" quotePrefix="0" xfId="0"/>
    <xf numFmtId="168" fontId="3" fillId="6" borderId="1" pivotButton="0" quotePrefix="0" xfId="0"/>
    <xf numFmtId="0" fontId="5" fillId="0" borderId="0" pivotButton="0" quotePrefix="0" xfId="0"/>
    <xf numFmtId="0" fontId="5" fillId="3" borderId="1" applyAlignment="1" pivotButton="0" quotePrefix="0" xfId="0">
      <alignment horizontal="center" vertical="center" wrapText="1"/>
    </xf>
    <xf numFmtId="0" fontId="3" fillId="7" borderId="1" applyAlignment="1" pivotButton="0" quotePrefix="0" xfId="0">
      <alignment horizontal="center" vertical="center" wrapText="1"/>
    </xf>
    <xf numFmtId="0" fontId="0" fillId="7" borderId="1" pivotButton="0" quotePrefix="0" xfId="0"/>
    <xf numFmtId="167" fontId="6" fillId="4" borderId="1" applyAlignment="1" pivotButton="0" quotePrefix="0" xfId="0">
      <alignment horizontal="center" vertical="center" wrapText="1"/>
    </xf>
    <xf numFmtId="0" fontId="0" fillId="4" borderId="1" pivotButton="0" quotePrefix="0" xfId="0"/>
    <xf numFmtId="168" fontId="6" fillId="4" borderId="1" applyAlignment="1" pivotButton="0" quotePrefix="0" xfId="0">
      <alignment horizontal="center" vertical="center" wrapText="1"/>
    </xf>
    <xf numFmtId="1" fontId="6" fillId="4" borderId="1" applyAlignment="1" pivotButton="0" quotePrefix="0" xfId="0">
      <alignment horizontal="center" vertical="center" wrapText="1"/>
    </xf>
    <xf numFmtId="9" fontId="6" fillId="4" borderId="1" applyAlignment="1" pivotButton="0" quotePrefix="0" xfId="0">
      <alignment horizontal="center" vertical="center" wrapText="1"/>
    </xf>
    <xf numFmtId="0" fontId="3" fillId="2" borderId="1" applyAlignment="1" pivotButton="0" quotePrefix="0" xfId="0">
      <alignment horizontal="left" vertical="center" wrapText="1"/>
    </xf>
    <xf numFmtId="0" fontId="0" fillId="2" borderId="1" pivotButton="0" quotePrefix="0" xfId="0"/>
    <xf numFmtId="0" fontId="4" fillId="4" borderId="1" applyAlignment="1" pivotButton="0" quotePrefix="0" xfId="0">
      <alignment horizontal="left" vertical="center" wrapText="1"/>
    </xf>
    <xf numFmtId="0" fontId="4" fillId="4" borderId="1" applyAlignment="1" pivotButton="0" quotePrefix="0" xfId="0">
      <alignment horizontal="center" vertical="center" wrapText="1"/>
    </xf>
    <xf numFmtId="9" fontId="4" fillId="4" borderId="1" applyAlignment="1" pivotButton="0" quotePrefix="0" xfId="0">
      <alignment horizontal="center" vertical="center" wrapText="1"/>
    </xf>
    <xf numFmtId="0" fontId="4" fillId="5" borderId="1" applyAlignment="1" pivotButton="0" quotePrefix="0" xfId="0">
      <alignment horizontal="left" vertical="center" wrapText="1"/>
    </xf>
    <xf numFmtId="0" fontId="4" fillId="5" borderId="1" applyAlignment="1" pivotButton="0" quotePrefix="0" xfId="0">
      <alignment horizontal="center" vertical="center" wrapText="1"/>
    </xf>
    <xf numFmtId="9" fontId="4" fillId="5" borderId="1" applyAlignment="1" pivotButton="0" quotePrefix="0" xfId="0">
      <alignment horizontal="center" vertical="center" wrapText="1"/>
    </xf>
    <xf numFmtId="0" fontId="3" fillId="6" borderId="1" applyAlignment="1" pivotButton="0" quotePrefix="0" xfId="0">
      <alignment horizontal="center" vertical="center" wrapText="1"/>
    </xf>
    <xf numFmtId="167" fontId="3" fillId="6" borderId="1" applyAlignment="1" pivotButton="0" quotePrefix="0" xfId="0">
      <alignment horizontal="center" vertical="center" wrapText="1"/>
    </xf>
    <xf numFmtId="168" fontId="3" fillId="6" borderId="1" applyAlignment="1" pivotButton="0" quotePrefix="0" xfId="0">
      <alignment horizontal="center" vertical="center" wrapText="1"/>
    </xf>
    <xf numFmtId="0" fontId="4" fillId="4" borderId="1" pivotButton="0" quotePrefix="0" xfId="0"/>
    <xf numFmtId="0" fontId="3" fillId="7" borderId="1" pivotButton="0" quotePrefix="0" xfId="0"/>
    <xf numFmtId="0" fontId="4" fillId="5" borderId="1" pivotButton="0" quotePrefix="0" xfId="0"/>
    <xf numFmtId="167" fontId="4" fillId="3" borderId="1" applyAlignment="1" pivotButton="0" quotePrefix="0" xfId="0">
      <alignment horizontal="center" vertical="center" wrapText="1"/>
    </xf>
    <xf numFmtId="168" fontId="4" fillId="3" borderId="1" applyAlignment="1" pivotButton="0" quotePrefix="0" xfId="0">
      <alignment horizontal="center" vertical="center" wrapText="1"/>
    </xf>
    <xf numFmtId="0" fontId="7" fillId="8" borderId="0" applyAlignment="1" pivotButton="0" quotePrefix="0" xfId="0">
      <alignment horizontal="left" vertical="center" wrapText="1"/>
    </xf>
    <xf numFmtId="0" fontId="5" fillId="4" borderId="1" applyAlignment="1" pivotButton="0" quotePrefix="0" xfId="0">
      <alignment horizontal="left" vertical="center" wrapText="1"/>
    </xf>
    <xf numFmtId="0" fontId="5" fillId="5" borderId="1" applyAlignment="1" pivotButton="0" quotePrefix="0" xfId="0">
      <alignment horizontal="left" vertical="center" wrapText="1"/>
    </xf>
  </cellXfs>
  <cellStyles count="1">
    <cellStyle name="Normal" xfId="0" builtinId="0" hidden="0"/>
  </cellStyles>
  <dxfs count="2">
    <dxf>
      <font>
        <b val="1"/>
        <color rgb="00DC2626"/>
      </font>
      <fill>
        <patternFill patternType="solid">
          <fgColor rgb="00FEE2E2"/>
        </patternFill>
      </fill>
    </dxf>
    <dxf>
      <font>
        <color rgb="0016A34A"/>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Heures supplémentaires par salarié</a:t>
            </a:r>
          </a:p>
        </rich>
      </tx>
    </title>
    <plotArea>
      <barChart>
        <barDir val="col"/>
        <grouping val="clustered"/>
        <ser>
          <idx val="0"/>
          <order val="0"/>
          <tx>
            <strRef>
              <f>'Synthèse'!B12</f>
            </strRef>
          </tx>
          <spPr>
            <a:solidFill xmlns:a="http://schemas.openxmlformats.org/drawingml/2006/main">
              <a:srgbClr val="4A2AA5"/>
            </a:solidFill>
            <a:ln xmlns:a="http://schemas.openxmlformats.org/drawingml/2006/main">
              <a:prstDash val="solid"/>
            </a:ln>
          </spPr>
          <cat>
            <numRef>
              <f>'Synthèse'!$A$13:$A$21</f>
            </numRef>
          </cat>
          <val>
            <numRef>
              <f>'Synthèse'!$B$13:$B$21</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Heures</a:t>
                </a:r>
              </a:p>
            </rich>
          </tx>
        </title>
        <majorTickMark val="none"/>
        <minorTickMark val="none"/>
        <crossAx val="10"/>
      </valAx>
    </plotArea>
    <plotVisOnly val="1"/>
    <dispBlanksAs val="gap"/>
  </chart>
</chartSpace>
</file>

<file path=xl/charts/chart2.xml><?xml version="1.0" encoding="utf-8"?>
<chartSpace xmlns="http://schemas.openxmlformats.org/drawingml/2006/chart">
  <style val="10"/>
  <chart>
    <title>
      <tx>
        <rich>
          <a:bodyPr xmlns:a="http://schemas.openxmlformats.org/drawingml/2006/main"/>
          <a:p xmlns:a="http://schemas.openxmlformats.org/drawingml/2006/main">
            <a:pPr>
              <a:defRPr/>
            </a:pPr>
            <a:r>
              <a:t>Répartition des statuts</a:t>
            </a:r>
          </a:p>
        </rich>
      </tx>
    </title>
    <plotArea>
      <pieChart>
        <varyColors val="1"/>
        <ser>
          <idx val="0"/>
          <order val="0"/>
          <tx>
            <strRef>
              <f>'Synthèse'!B24</f>
            </strRef>
          </tx>
          <spPr>
            <a:ln xmlns:a="http://schemas.openxmlformats.org/drawingml/2006/main">
              <a:prstDash val="solid"/>
            </a:ln>
          </spPr>
          <cat>
            <numRef>
              <f>'Synthèse'!$A$25:$A$28</f>
            </numRef>
          </cat>
          <val>
            <numRef>
              <f>'Synthèse'!$B$25:$B$28</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Évolution des heures supplémentaires par mois</a:t>
            </a:r>
          </a:p>
        </rich>
      </tx>
    </title>
    <plotArea>
      <lineChart>
        <grouping val="standard"/>
        <ser>
          <idx val="0"/>
          <order val="0"/>
          <tx>
            <strRef>
              <f>'Synthèse'!E25</f>
            </strRef>
          </tx>
          <spPr>
            <a:ln xmlns:a="http://schemas.openxmlformats.org/drawingml/2006/main" w="25000">
              <a:solidFill>
                <a:srgbClr val="FF6B4A"/>
              </a:solidFill>
              <a:prstDash val="solid"/>
            </a:ln>
          </spPr>
          <marker>
            <symbol val="none"/>
            <spPr>
              <a:ln xmlns:a="http://schemas.openxmlformats.org/drawingml/2006/main">
                <a:prstDash val="solid"/>
              </a:ln>
            </spPr>
          </marker>
          <cat>
            <numRef>
              <f>'Synthèse'!$D$26:$D$32</f>
            </numRef>
          </cat>
          <val>
            <numRef>
              <f>'Synthèse'!$E$26:$E$32</f>
            </numRef>
          </val>
          <smooth val="0"/>
        </ser>
        <axId val="10"/>
        <axId val="100"/>
      </line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Heures</a:t>
                </a:r>
              </a:p>
            </rich>
          </tx>
        </title>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6</col>
      <colOff>0</colOff>
      <row>10</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28</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30</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5"/>
  <sheetViews>
    <sheetView workbookViewId="0">
      <pane ySplit="5" topLeftCell="A6" activePane="bottomLeft" state="frozen"/>
      <selection pane="bottomLeft" activeCell="A1" sqref="A1"/>
    </sheetView>
  </sheetViews>
  <sheetFormatPr baseColWidth="8" defaultRowHeight="15"/>
  <cols>
    <col width="5" customWidth="1" min="1" max="1"/>
    <col width="12" customWidth="1" min="2" max="2"/>
    <col width="18" customWidth="1" min="3" max="3"/>
    <col width="12" customWidth="1" min="4" max="4"/>
    <col width="13" customWidth="1" min="5" max="5"/>
    <col width="12" customWidth="1" min="6" max="6"/>
    <col width="11" customWidth="1" min="7" max="7"/>
    <col width="11" customWidth="1" min="8" max="8"/>
    <col width="13" customWidth="1" min="9" max="9"/>
    <col width="14" customWidth="1" min="10" max="10"/>
    <col width="16" customWidth="1" min="11" max="11"/>
    <col width="13" customWidth="1" min="12" max="12"/>
    <col width="11" customWidth="1" min="13" max="13"/>
    <col width="20" customWidth="1" min="14" max="14"/>
    <col width="13" customWidth="1" min="15" max="15"/>
    <col width="30" customWidth="1" min="16" max="16"/>
  </cols>
  <sheetData>
    <row r="1" ht="32" customHeight="1">
      <c r="A1" s="1" t="inlineStr">
        <is>
          <t>Tableau de suivi des heures supplémentaires — 2026</t>
        </is>
      </c>
    </row>
    <row r="2" ht="20" customHeight="1">
      <c r="A2" s="2" t="inlineStr">
        <is>
          <t>Saisissez uniquement les cellules jaunes. Les autres colonnes sont calculées automatiquement. Période : janvier à juillet 2026.</t>
        </is>
      </c>
    </row>
    <row r="4" ht="30" customHeight="1">
      <c r="A4" s="3" t="inlineStr">
        <is>
          <t>ID</t>
        </is>
      </c>
      <c r="B4" s="3" t="inlineStr">
        <is>
          <t>Date</t>
        </is>
      </c>
      <c r="C4" s="3" t="inlineStr">
        <is>
          <t>Salarié</t>
        </is>
      </c>
      <c r="D4" s="3" t="inlineStr">
        <is>
          <t>Matricule</t>
        </is>
      </c>
      <c r="E4" s="3" t="inlineStr">
        <is>
          <t>Service</t>
        </is>
      </c>
      <c r="F4" s="3" t="inlineStr">
        <is>
          <t>Heure de début</t>
        </is>
      </c>
      <c r="G4" s="3" t="inlineStr">
        <is>
          <t>Heure de fin</t>
        </is>
      </c>
      <c r="H4" s="3" t="inlineStr">
        <is>
          <t>Pause (min)</t>
        </is>
      </c>
      <c r="I4" s="3" t="inlineStr">
        <is>
          <t>Heures prévues</t>
        </is>
      </c>
      <c r="J4" s="3" t="inlineStr">
        <is>
          <t>Heures travaillées</t>
        </is>
      </c>
      <c r="K4" s="3" t="inlineStr">
        <is>
          <t>Heures supplémentaires</t>
        </is>
      </c>
      <c r="L4" s="3" t="inlineStr">
        <is>
          <t>Taux horaire (€)</t>
        </is>
      </c>
      <c r="M4" s="3" t="inlineStr">
        <is>
          <t>Majoration</t>
        </is>
      </c>
      <c r="N4" s="3" t="inlineStr">
        <is>
          <t>Montant heures supp. (€)</t>
        </is>
      </c>
      <c r="O4" s="3" t="inlineStr">
        <is>
          <t>Statut</t>
        </is>
      </c>
      <c r="P4" s="3" t="inlineStr">
        <is>
          <t>Commentaire</t>
        </is>
      </c>
    </row>
    <row r="6" ht="20" customHeight="1">
      <c r="A6" s="4" t="n">
        <v>1</v>
      </c>
      <c r="B6" s="5" t="n">
        <v>46027</v>
      </c>
      <c r="C6" s="6" t="inlineStr">
        <is>
          <t>Camille Martin</t>
        </is>
      </c>
      <c r="D6" s="4" t="inlineStr">
        <is>
          <t>SAL-001</t>
        </is>
      </c>
      <c r="E6" s="4" t="inlineStr">
        <is>
          <t>Paris</t>
        </is>
      </c>
      <c r="F6" s="7" t="n">
        <v>0.3541666666666667</v>
      </c>
      <c r="G6" s="7" t="n">
        <v>0.7708333333333334</v>
      </c>
      <c r="H6" s="4" t="n">
        <v>60</v>
      </c>
      <c r="I6" s="8">
        <f>IFERROR(VLOOKUP(C6,Paramètres!$A$6:$E$14,4,FALSE),7)</f>
        <v/>
      </c>
      <c r="J6" s="8">
        <f>ROUND((G6-F6)*24-H6/60,2)</f>
        <v/>
      </c>
      <c r="K6" s="8">
        <f>MAX(0,J6-I6)</f>
        <v/>
      </c>
      <c r="L6" s="9">
        <f>IFERROR(VLOOKUP(C6,Paramètres!$A$6:$E$14,5,FALSE),0)</f>
        <v/>
      </c>
      <c r="M6" s="10" t="n">
        <v>0.25</v>
      </c>
      <c r="N6" s="9">
        <f>K6*L6*(1+M6)</f>
        <v/>
      </c>
      <c r="O6" s="4" t="inlineStr">
        <is>
          <t>Validées</t>
        </is>
      </c>
      <c r="P6" s="6" t="inlineStr">
        <is>
          <t>Clôture mensuelle comptable</t>
        </is>
      </c>
    </row>
    <row r="7" ht="20" customHeight="1">
      <c r="A7" s="4" t="n">
        <v>2</v>
      </c>
      <c r="B7" s="5" t="n">
        <v>46034</v>
      </c>
      <c r="C7" s="6" t="inlineStr">
        <is>
          <t>Lucas Bernard</t>
        </is>
      </c>
      <c r="D7" s="4" t="inlineStr">
        <is>
          <t>SAL-002</t>
        </is>
      </c>
      <c r="E7" s="4" t="inlineStr">
        <is>
          <t>Lyon</t>
        </is>
      </c>
      <c r="F7" s="7" t="n">
        <v>0.3333333333333333</v>
      </c>
      <c r="G7" s="7" t="n">
        <v>0.7916666666666666</v>
      </c>
      <c r="H7" s="4" t="n">
        <v>60</v>
      </c>
      <c r="I7" s="11">
        <f>IFERROR(VLOOKUP(C7,Paramètres!$A$6:$E$14,4,FALSE),7)</f>
        <v/>
      </c>
      <c r="J7" s="11">
        <f>ROUND((G7-F7)*24-H7/60,2)</f>
        <v/>
      </c>
      <c r="K7" s="11">
        <f>MAX(0,J7-I7)</f>
        <v/>
      </c>
      <c r="L7" s="12">
        <f>IFERROR(VLOOKUP(C7,Paramètres!$A$6:$E$14,5,FALSE),0)</f>
        <v/>
      </c>
      <c r="M7" s="10" t="n">
        <v>0.25</v>
      </c>
      <c r="N7" s="12">
        <f>K7*L7*(1+M7)</f>
        <v/>
      </c>
      <c r="O7" s="4" t="inlineStr">
        <is>
          <t>Validées</t>
        </is>
      </c>
      <c r="P7" s="6" t="inlineStr">
        <is>
          <t>Livraison urgente client</t>
        </is>
      </c>
    </row>
    <row r="8" ht="20" customHeight="1">
      <c r="A8" s="4" t="n">
        <v>3</v>
      </c>
      <c r="B8" s="5" t="n">
        <v>46045</v>
      </c>
      <c r="C8" s="6" t="inlineStr">
        <is>
          <t>Emma Dubois</t>
        </is>
      </c>
      <c r="D8" s="4" t="inlineStr">
        <is>
          <t>SAL-003</t>
        </is>
      </c>
      <c r="E8" s="4" t="inlineStr">
        <is>
          <t>Marseille</t>
        </is>
      </c>
      <c r="F8" s="7" t="n">
        <v>0.375</v>
      </c>
      <c r="G8" s="7" t="n">
        <v>0.7708333333333334</v>
      </c>
      <c r="H8" s="4" t="n">
        <v>60</v>
      </c>
      <c r="I8" s="8">
        <f>IFERROR(VLOOKUP(C8,Paramètres!$A$6:$E$14,4,FALSE),7)</f>
        <v/>
      </c>
      <c r="J8" s="8">
        <f>ROUND((G8-F8)*24-H8/60,2)</f>
        <v/>
      </c>
      <c r="K8" s="8">
        <f>MAX(0,J8-I8)</f>
        <v/>
      </c>
      <c r="L8" s="9">
        <f>IFERROR(VLOOKUP(C8,Paramètres!$A$6:$E$14,5,FALSE),0)</f>
        <v/>
      </c>
      <c r="M8" s="10" t="n">
        <v>0.25</v>
      </c>
      <c r="N8" s="9">
        <f>K8*L8*(1+M8)</f>
        <v/>
      </c>
      <c r="O8" s="4" t="inlineStr">
        <is>
          <t>Récupérées</t>
        </is>
      </c>
      <c r="P8" s="6" t="inlineStr">
        <is>
          <t>Inventaire entrepôt</t>
        </is>
      </c>
    </row>
    <row r="9" ht="20" customHeight="1">
      <c r="A9" s="4" t="n">
        <v>4</v>
      </c>
      <c r="B9" s="5" t="n">
        <v>46056</v>
      </c>
      <c r="C9" s="6" t="inlineStr">
        <is>
          <t>Hugo Petit</t>
        </is>
      </c>
      <c r="D9" s="4" t="inlineStr">
        <is>
          <t>SAL-004</t>
        </is>
      </c>
      <c r="E9" s="4" t="inlineStr">
        <is>
          <t>Toulouse</t>
        </is>
      </c>
      <c r="F9" s="7" t="n">
        <v>0.3229166666666667</v>
      </c>
      <c r="G9" s="7" t="n">
        <v>0.7604166666666666</v>
      </c>
      <c r="H9" s="4" t="n">
        <v>45</v>
      </c>
      <c r="I9" s="11">
        <f>IFERROR(VLOOKUP(C9,Paramètres!$A$6:$E$14,4,FALSE),7)</f>
        <v/>
      </c>
      <c r="J9" s="11">
        <f>ROUND((G9-F9)*24-H9/60,2)</f>
        <v/>
      </c>
      <c r="K9" s="11">
        <f>MAX(0,J9-I9)</f>
        <v/>
      </c>
      <c r="L9" s="12">
        <f>IFERROR(VLOOKUP(C9,Paramètres!$A$6:$E$14,5,FALSE),0)</f>
        <v/>
      </c>
      <c r="M9" s="10" t="n">
        <v>0.25</v>
      </c>
      <c r="N9" s="12">
        <f>K9*L9*(1+M9)</f>
        <v/>
      </c>
      <c r="O9" s="4" t="inlineStr">
        <is>
          <t>Validées</t>
        </is>
      </c>
      <c r="P9" s="6" t="inlineStr">
        <is>
          <t>Déploiement applicatif</t>
        </is>
      </c>
    </row>
    <row r="10" ht="20" customHeight="1">
      <c r="A10" s="4" t="n">
        <v>5</v>
      </c>
      <c r="B10" s="5" t="n">
        <v>46069</v>
      </c>
      <c r="C10" s="6" t="inlineStr">
        <is>
          <t>Léa Moreau</t>
        </is>
      </c>
      <c r="D10" s="4" t="inlineStr">
        <is>
          <t>SAL-005</t>
        </is>
      </c>
      <c r="E10" s="4" t="inlineStr">
        <is>
          <t>Bordeaux</t>
        </is>
      </c>
      <c r="F10" s="7" t="n">
        <v>0.3541666666666667</v>
      </c>
      <c r="G10" s="7" t="n">
        <v>0.7916666666666666</v>
      </c>
      <c r="H10" s="4" t="n">
        <v>60</v>
      </c>
      <c r="I10" s="8">
        <f>IFERROR(VLOOKUP(C10,Paramètres!$A$6:$E$14,4,FALSE),7)</f>
        <v/>
      </c>
      <c r="J10" s="8">
        <f>ROUND((G10-F10)*24-H10/60,2)</f>
        <v/>
      </c>
      <c r="K10" s="8">
        <f>MAX(0,J10-I10)</f>
        <v/>
      </c>
      <c r="L10" s="9">
        <f>IFERROR(VLOOKUP(C10,Paramètres!$A$6:$E$14,5,FALSE),0)</f>
        <v/>
      </c>
      <c r="M10" s="10" t="n">
        <v>0.5</v>
      </c>
      <c r="N10" s="9">
        <f>K10*L10*(1+M10)</f>
        <v/>
      </c>
      <c r="O10" s="4" t="inlineStr">
        <is>
          <t>À valider</t>
        </is>
      </c>
      <c r="P10" s="6" t="inlineStr">
        <is>
          <t>Pic d'activité saisonnier</t>
        </is>
      </c>
    </row>
    <row r="11" ht="20" customHeight="1">
      <c r="A11" s="4" t="n">
        <v>6</v>
      </c>
      <c r="B11" s="5" t="n">
        <v>46086</v>
      </c>
      <c r="C11" s="6" t="inlineStr">
        <is>
          <t>Louis Robert</t>
        </is>
      </c>
      <c r="D11" s="4" t="inlineStr">
        <is>
          <t>SAL-006</t>
        </is>
      </c>
      <c r="E11" s="4" t="inlineStr">
        <is>
          <t>Lille</t>
        </is>
      </c>
      <c r="F11" s="7" t="n">
        <v>0.3333333333333333</v>
      </c>
      <c r="G11" s="7" t="n">
        <v>0.8333333333333334</v>
      </c>
      <c r="H11" s="4" t="n">
        <v>60</v>
      </c>
      <c r="I11" s="11">
        <f>IFERROR(VLOOKUP(C11,Paramètres!$A$6:$E$14,4,FALSE),7)</f>
        <v/>
      </c>
      <c r="J11" s="11">
        <f>ROUND((G11-F11)*24-H11/60,2)</f>
        <v/>
      </c>
      <c r="K11" s="11">
        <f>MAX(0,J11-I11)</f>
        <v/>
      </c>
      <c r="L11" s="12">
        <f>IFERROR(VLOOKUP(C11,Paramètres!$A$6:$E$14,5,FALSE),0)</f>
        <v/>
      </c>
      <c r="M11" s="10" t="n">
        <v>0.5</v>
      </c>
      <c r="N11" s="12">
        <f>K11*L11*(1+M11)</f>
        <v/>
      </c>
      <c r="O11" s="4" t="inlineStr">
        <is>
          <t>Validées</t>
        </is>
      </c>
      <c r="P11" s="6" t="inlineStr">
        <is>
          <t>Projet prioritaire direction</t>
        </is>
      </c>
    </row>
    <row r="12" ht="20" customHeight="1">
      <c r="A12" s="4" t="n">
        <v>7</v>
      </c>
      <c r="B12" s="5" t="n">
        <v>46100</v>
      </c>
      <c r="C12" s="6" t="inlineStr">
        <is>
          <t>Chloé Richard</t>
        </is>
      </c>
      <c r="D12" s="4" t="inlineStr">
        <is>
          <t>SAL-007</t>
        </is>
      </c>
      <c r="E12" s="4" t="inlineStr">
        <is>
          <t>Nantes</t>
        </is>
      </c>
      <c r="F12" s="7" t="n">
        <v>0.375</v>
      </c>
      <c r="G12" s="7" t="n">
        <v>0.75</v>
      </c>
      <c r="H12" s="4" t="n">
        <v>60</v>
      </c>
      <c r="I12" s="8">
        <f>IFERROR(VLOOKUP(C12,Paramètres!$A$6:$E$14,4,FALSE),7)</f>
        <v/>
      </c>
      <c r="J12" s="8">
        <f>ROUND((G12-F12)*24-H12/60,2)</f>
        <v/>
      </c>
      <c r="K12" s="8">
        <f>MAX(0,J12-I12)</f>
        <v/>
      </c>
      <c r="L12" s="9">
        <f>IFERROR(VLOOKUP(C12,Paramètres!$A$6:$E$14,5,FALSE),0)</f>
        <v/>
      </c>
      <c r="M12" s="10" t="n">
        <v>0.25</v>
      </c>
      <c r="N12" s="9">
        <f>K12*L12*(1+M12)</f>
        <v/>
      </c>
      <c r="O12" s="4" t="inlineStr">
        <is>
          <t>Refusées</t>
        </is>
      </c>
      <c r="P12" s="6" t="inlineStr">
        <is>
          <t>Journée standard</t>
        </is>
      </c>
    </row>
    <row r="13" ht="20" customHeight="1">
      <c r="A13" s="4" t="n">
        <v>8</v>
      </c>
      <c r="B13" s="5" t="n">
        <v>46119</v>
      </c>
      <c r="C13" s="6" t="inlineStr">
        <is>
          <t>Nathan Durand</t>
        </is>
      </c>
      <c r="D13" s="4" t="inlineStr">
        <is>
          <t>SAL-008</t>
        </is>
      </c>
      <c r="E13" s="4" t="inlineStr">
        <is>
          <t>Strasbourg</t>
        </is>
      </c>
      <c r="F13" s="7" t="n">
        <v>0.34375</v>
      </c>
      <c r="G13" s="7" t="n">
        <v>0.8020833333333334</v>
      </c>
      <c r="H13" s="4" t="n">
        <v>60</v>
      </c>
      <c r="I13" s="11">
        <f>IFERROR(VLOOKUP(C13,Paramètres!$A$6:$E$14,4,FALSE),7)</f>
        <v/>
      </c>
      <c r="J13" s="11">
        <f>ROUND((G13-F13)*24-H13/60,2)</f>
        <v/>
      </c>
      <c r="K13" s="11">
        <f>MAX(0,J13-I13)</f>
        <v/>
      </c>
      <c r="L13" s="12">
        <f>IFERROR(VLOOKUP(C13,Paramètres!$A$6:$E$14,5,FALSE),0)</f>
        <v/>
      </c>
      <c r="M13" s="10" t="n">
        <v>0.5</v>
      </c>
      <c r="N13" s="12">
        <f>K13*L13*(1+M13)</f>
        <v/>
      </c>
      <c r="O13" s="4" t="inlineStr">
        <is>
          <t>Validées</t>
        </is>
      </c>
      <c r="P13" s="6" t="inlineStr">
        <is>
          <t>Audit financier annuel</t>
        </is>
      </c>
    </row>
    <row r="14" ht="20" customHeight="1">
      <c r="A14" s="4" t="n">
        <v>9</v>
      </c>
      <c r="B14" s="5" t="n">
        <v>46133</v>
      </c>
      <c r="C14" s="6" t="inlineStr">
        <is>
          <t>Manon Leroy</t>
        </is>
      </c>
      <c r="D14" s="4" t="inlineStr">
        <is>
          <t>SAL-009</t>
        </is>
      </c>
      <c r="E14" s="4" t="inlineStr">
        <is>
          <t>Nice</t>
        </is>
      </c>
      <c r="F14" s="7" t="n">
        <v>0.3541666666666667</v>
      </c>
      <c r="G14" s="7" t="n">
        <v>0.78125</v>
      </c>
      <c r="H14" s="4" t="n">
        <v>45</v>
      </c>
      <c r="I14" s="8">
        <f>IFERROR(VLOOKUP(C14,Paramètres!$A$6:$E$14,4,FALSE),7)</f>
        <v/>
      </c>
      <c r="J14" s="8">
        <f>ROUND((G14-F14)*24-H14/60,2)</f>
        <v/>
      </c>
      <c r="K14" s="8">
        <f>MAX(0,J14-I14)</f>
        <v/>
      </c>
      <c r="L14" s="9">
        <f>IFERROR(VLOOKUP(C14,Paramètres!$A$6:$E$14,5,FALSE),0)</f>
        <v/>
      </c>
      <c r="M14" s="10" t="n">
        <v>0.25</v>
      </c>
      <c r="N14" s="9">
        <f>K14*L14*(1+M14)</f>
        <v/>
      </c>
      <c r="O14" s="4" t="inlineStr">
        <is>
          <t>À valider</t>
        </is>
      </c>
      <c r="P14" s="6" t="inlineStr">
        <is>
          <t>Réunion commerciale tardive</t>
        </is>
      </c>
    </row>
    <row r="15" ht="22" customHeight="1">
      <c r="A15" s="13" t="n"/>
      <c r="B15" s="13" t="n"/>
      <c r="C15" s="13" t="inlineStr">
        <is>
          <t>TOTAL</t>
        </is>
      </c>
      <c r="D15" s="13" t="n"/>
      <c r="E15" s="13" t="n"/>
      <c r="F15" s="13" t="n"/>
      <c r="G15" s="13" t="n"/>
      <c r="H15" s="13" t="n"/>
      <c r="I15" s="13" t="n"/>
      <c r="J15" s="14">
        <f>SUM(J6:J14)</f>
        <v/>
      </c>
      <c r="K15" s="14">
        <f>SUM(K6:K14)</f>
        <v/>
      </c>
      <c r="L15" s="13" t="n"/>
      <c r="M15" s="13" t="n"/>
      <c r="N15" s="15">
        <f>SUM(N6:N14)</f>
        <v/>
      </c>
      <c r="O15" s="13" t="n"/>
      <c r="P15" s="13" t="n"/>
    </row>
  </sheetData>
  <mergeCells count="2">
    <mergeCell ref="A1:P1"/>
    <mergeCell ref="A2:P2"/>
  </mergeCells>
  <conditionalFormatting sqref="K6:K14">
    <cfRule type="expression" priority="1" dxfId="0" stopIfTrue="1">
      <formula>K6&gt;2</formula>
    </cfRule>
    <cfRule type="expression" priority="2" dxfId="1" stopIfTrue="1">
      <formula>AND(K6&gt;0,K6&lt;=2)</formula>
    </cfRule>
  </conditionalFormatting>
  <dataValidations count="1">
    <dataValidation sqref="O6:O50" showErrorMessage="1" showInputMessage="1" allowBlank="1" errorTitle="Statut invalide" error="Choisissez un statut dans la liste." type="list">
      <formula1>"À valider,Validées,Refusées,Récupérées"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32"/>
  <sheetViews>
    <sheetView workbookViewId="0">
      <selection activeCell="A1" sqref="A1"/>
    </sheetView>
  </sheetViews>
  <sheetFormatPr baseColWidth="8" defaultRowHeight="15"/>
  <cols>
    <col width="26" customWidth="1" min="1" max="1"/>
    <col width="22" customWidth="1" min="2" max="2"/>
    <col width="16" customWidth="1" min="3" max="3"/>
    <col width="18" customWidth="1" min="4" max="4"/>
    <col width="18" customWidth="1" min="5" max="5"/>
    <col width="14" customWidth="1" min="6" max="6"/>
    <col width="14" customWidth="1" min="7" max="7"/>
    <col width="14" customWidth="1" min="8" max="8"/>
    <col width="14" customWidth="1" min="9" max="9"/>
    <col width="14" customWidth="1" min="10" max="10"/>
  </cols>
  <sheetData>
    <row r="1" ht="32" customHeight="1">
      <c r="A1" s="1" t="inlineStr">
        <is>
          <t>Synthèse et pilotage des heures supplémentaires</t>
        </is>
      </c>
    </row>
    <row r="3">
      <c r="A3" s="16" t="inlineStr">
        <is>
          <t>Mois analysé :</t>
        </is>
      </c>
      <c r="C3" s="17" t="inlineStr">
        <is>
          <t>avril 2026</t>
        </is>
      </c>
    </row>
    <row r="5" ht="24" customHeight="1">
      <c r="A5" s="18" t="inlineStr">
        <is>
          <t>Total heures travaillées</t>
        </is>
      </c>
      <c r="B5" s="19" t="n"/>
      <c r="C5" s="19" t="n"/>
      <c r="D5" s="18" t="inlineStr">
        <is>
          <t>Total heures supplémentaires</t>
        </is>
      </c>
      <c r="E5" s="19" t="n"/>
      <c r="F5" s="19" t="n"/>
      <c r="G5" s="18" t="inlineStr">
        <is>
          <t>Moyenne heures supp. par saisie</t>
        </is>
      </c>
      <c r="H5" s="19" t="n"/>
      <c r="I5" s="19" t="n"/>
    </row>
    <row r="6" ht="32" customHeight="1">
      <c r="A6" s="20">
        <f>SUM('Suivi heures'!J6:J14)</f>
        <v/>
      </c>
      <c r="B6" s="21" t="n"/>
      <c r="C6" s="21" t="n"/>
      <c r="D6" s="20">
        <f>SUM('Suivi heures'!K6:K14)</f>
        <v/>
      </c>
      <c r="E6" s="21" t="n"/>
      <c r="F6" s="21" t="n"/>
      <c r="G6" s="20">
        <f>AVERAGE('Suivi heures'!K6:K14)</f>
        <v/>
      </c>
      <c r="H6" s="21" t="n"/>
      <c r="I6" s="21" t="n"/>
    </row>
    <row r="8" ht="24" customHeight="1">
      <c r="A8" s="18" t="inlineStr">
        <is>
          <t>Montant total heures supplémentaires</t>
        </is>
      </c>
      <c r="B8" s="19" t="n"/>
      <c r="C8" s="19" t="n"/>
      <c r="D8" s="18" t="inlineStr">
        <is>
          <t>Nombre de lignes validées</t>
        </is>
      </c>
      <c r="E8" s="19" t="n"/>
      <c r="F8" s="19" t="n"/>
      <c r="G8" s="18" t="inlineStr">
        <is>
          <t>Taux de validation</t>
        </is>
      </c>
      <c r="H8" s="19" t="n"/>
      <c r="I8" s="19" t="n"/>
    </row>
    <row r="9" ht="32" customHeight="1">
      <c r="A9" s="22">
        <f>SUM('Suivi heures'!N6:N14)</f>
        <v/>
      </c>
      <c r="B9" s="21" t="n"/>
      <c r="C9" s="21" t="n"/>
      <c r="D9" s="23">
        <f>COUNTIF('Suivi heures'!O6:O14,"Validées")</f>
        <v/>
      </c>
      <c r="E9" s="21" t="n"/>
      <c r="F9" s="21" t="n"/>
      <c r="G9" s="24">
        <f>IFERROR(COUNTIF('Suivi heures'!O6:O14,"Validées")/COUNTA('Suivi heures'!A6:A14),0)</f>
        <v/>
      </c>
      <c r="H9" s="21" t="n"/>
      <c r="I9" s="21" t="n"/>
    </row>
    <row r="11">
      <c r="A11" s="25" t="inlineStr">
        <is>
          <t>Récapitulatif par salarié</t>
        </is>
      </c>
      <c r="B11" s="26" t="n"/>
      <c r="C11" s="26" t="n"/>
      <c r="D11" s="26" t="n"/>
      <c r="E11" s="26" t="n"/>
    </row>
    <row r="12">
      <c r="A12" s="18" t="inlineStr">
        <is>
          <t>Salarié</t>
        </is>
      </c>
      <c r="B12" s="18" t="inlineStr">
        <is>
          <t>Heures supplémentaires</t>
        </is>
      </c>
      <c r="C12" s="18" t="inlineStr">
        <is>
          <t>Montant (€)</t>
        </is>
      </c>
      <c r="D12" s="18" t="inlineStr">
        <is>
          <t>Lignes validées</t>
        </is>
      </c>
      <c r="E12" s="18" t="inlineStr">
        <is>
          <t>Part des heures</t>
        </is>
      </c>
    </row>
    <row r="13">
      <c r="A13" s="27" t="inlineStr">
        <is>
          <t>Camille Martin</t>
        </is>
      </c>
      <c r="B13" s="8">
        <f>SUMIF('Suivi heures'!$C$6:$C$14,A13,'Suivi heures'!$K$6:$K$14)</f>
        <v/>
      </c>
      <c r="C13" s="9">
        <f>SUMIF('Suivi heures'!$C$6:$C$14,A13,'Suivi heures'!$N$6:$N$14)</f>
        <v/>
      </c>
      <c r="D13" s="28">
        <f>COUNTIFS('Suivi heures'!$C$6:$C$14,A13,'Suivi heures'!$O$6:$O$14,"Validées")</f>
        <v/>
      </c>
      <c r="E13" s="29">
        <f>IFERROR(B13/SUM($B$13:$B$21),0)</f>
        <v/>
      </c>
    </row>
    <row r="14">
      <c r="A14" s="30" t="inlineStr">
        <is>
          <t>Lucas Bernard</t>
        </is>
      </c>
      <c r="B14" s="11">
        <f>SUMIF('Suivi heures'!$C$6:$C$14,A14,'Suivi heures'!$K$6:$K$14)</f>
        <v/>
      </c>
      <c r="C14" s="12">
        <f>SUMIF('Suivi heures'!$C$6:$C$14,A14,'Suivi heures'!$N$6:$N$14)</f>
        <v/>
      </c>
      <c r="D14" s="31">
        <f>COUNTIFS('Suivi heures'!$C$6:$C$14,A14,'Suivi heures'!$O$6:$O$14,"Validées")</f>
        <v/>
      </c>
      <c r="E14" s="32">
        <f>IFERROR(B14/SUM($B$13:$B$21),0)</f>
        <v/>
      </c>
    </row>
    <row r="15">
      <c r="A15" s="27" t="inlineStr">
        <is>
          <t>Emma Dubois</t>
        </is>
      </c>
      <c r="B15" s="8">
        <f>SUMIF('Suivi heures'!$C$6:$C$14,A15,'Suivi heures'!$K$6:$K$14)</f>
        <v/>
      </c>
      <c r="C15" s="9">
        <f>SUMIF('Suivi heures'!$C$6:$C$14,A15,'Suivi heures'!$N$6:$N$14)</f>
        <v/>
      </c>
      <c r="D15" s="28">
        <f>COUNTIFS('Suivi heures'!$C$6:$C$14,A15,'Suivi heures'!$O$6:$O$14,"Validées")</f>
        <v/>
      </c>
      <c r="E15" s="29">
        <f>IFERROR(B15/SUM($B$13:$B$21),0)</f>
        <v/>
      </c>
    </row>
    <row r="16">
      <c r="A16" s="30" t="inlineStr">
        <is>
          <t>Hugo Petit</t>
        </is>
      </c>
      <c r="B16" s="11">
        <f>SUMIF('Suivi heures'!$C$6:$C$14,A16,'Suivi heures'!$K$6:$K$14)</f>
        <v/>
      </c>
      <c r="C16" s="12">
        <f>SUMIF('Suivi heures'!$C$6:$C$14,A16,'Suivi heures'!$N$6:$N$14)</f>
        <v/>
      </c>
      <c r="D16" s="31">
        <f>COUNTIFS('Suivi heures'!$C$6:$C$14,A16,'Suivi heures'!$O$6:$O$14,"Validées")</f>
        <v/>
      </c>
      <c r="E16" s="32">
        <f>IFERROR(B16/SUM($B$13:$B$21),0)</f>
        <v/>
      </c>
    </row>
    <row r="17">
      <c r="A17" s="27" t="inlineStr">
        <is>
          <t>Léa Moreau</t>
        </is>
      </c>
      <c r="B17" s="8">
        <f>SUMIF('Suivi heures'!$C$6:$C$14,A17,'Suivi heures'!$K$6:$K$14)</f>
        <v/>
      </c>
      <c r="C17" s="9">
        <f>SUMIF('Suivi heures'!$C$6:$C$14,A17,'Suivi heures'!$N$6:$N$14)</f>
        <v/>
      </c>
      <c r="D17" s="28">
        <f>COUNTIFS('Suivi heures'!$C$6:$C$14,A17,'Suivi heures'!$O$6:$O$14,"Validées")</f>
        <v/>
      </c>
      <c r="E17" s="29">
        <f>IFERROR(B17/SUM($B$13:$B$21),0)</f>
        <v/>
      </c>
    </row>
    <row r="18">
      <c r="A18" s="30" t="inlineStr">
        <is>
          <t>Louis Robert</t>
        </is>
      </c>
      <c r="B18" s="11">
        <f>SUMIF('Suivi heures'!$C$6:$C$14,A18,'Suivi heures'!$K$6:$K$14)</f>
        <v/>
      </c>
      <c r="C18" s="12">
        <f>SUMIF('Suivi heures'!$C$6:$C$14,A18,'Suivi heures'!$N$6:$N$14)</f>
        <v/>
      </c>
      <c r="D18" s="31">
        <f>COUNTIFS('Suivi heures'!$C$6:$C$14,A18,'Suivi heures'!$O$6:$O$14,"Validées")</f>
        <v/>
      </c>
      <c r="E18" s="32">
        <f>IFERROR(B18/SUM($B$13:$B$21),0)</f>
        <v/>
      </c>
    </row>
    <row r="19">
      <c r="A19" s="27" t="inlineStr">
        <is>
          <t>Chloé Richard</t>
        </is>
      </c>
      <c r="B19" s="8">
        <f>SUMIF('Suivi heures'!$C$6:$C$14,A19,'Suivi heures'!$K$6:$K$14)</f>
        <v/>
      </c>
      <c r="C19" s="9">
        <f>SUMIF('Suivi heures'!$C$6:$C$14,A19,'Suivi heures'!$N$6:$N$14)</f>
        <v/>
      </c>
      <c r="D19" s="28">
        <f>COUNTIFS('Suivi heures'!$C$6:$C$14,A19,'Suivi heures'!$O$6:$O$14,"Validées")</f>
        <v/>
      </c>
      <c r="E19" s="29">
        <f>IFERROR(B19/SUM($B$13:$B$21),0)</f>
        <v/>
      </c>
    </row>
    <row r="20">
      <c r="A20" s="30" t="inlineStr">
        <is>
          <t>Nathan Durand</t>
        </is>
      </c>
      <c r="B20" s="11">
        <f>SUMIF('Suivi heures'!$C$6:$C$14,A20,'Suivi heures'!$K$6:$K$14)</f>
        <v/>
      </c>
      <c r="C20" s="12">
        <f>SUMIF('Suivi heures'!$C$6:$C$14,A20,'Suivi heures'!$N$6:$N$14)</f>
        <v/>
      </c>
      <c r="D20" s="31">
        <f>COUNTIFS('Suivi heures'!$C$6:$C$14,A20,'Suivi heures'!$O$6:$O$14,"Validées")</f>
        <v/>
      </c>
      <c r="E20" s="32">
        <f>IFERROR(B20/SUM($B$13:$B$21),0)</f>
        <v/>
      </c>
    </row>
    <row r="21">
      <c r="A21" s="27" t="inlineStr">
        <is>
          <t>Manon Leroy</t>
        </is>
      </c>
      <c r="B21" s="8">
        <f>SUMIF('Suivi heures'!$C$6:$C$14,A21,'Suivi heures'!$K$6:$K$14)</f>
        <v/>
      </c>
      <c r="C21" s="9">
        <f>SUMIF('Suivi heures'!$C$6:$C$14,A21,'Suivi heures'!$N$6:$N$14)</f>
        <v/>
      </c>
      <c r="D21" s="28">
        <f>COUNTIFS('Suivi heures'!$C$6:$C$14,A21,'Suivi heures'!$O$6:$O$14,"Validées")</f>
        <v/>
      </c>
      <c r="E21" s="29">
        <f>IFERROR(B21/SUM($B$13:$B$21),0)</f>
        <v/>
      </c>
    </row>
    <row r="22">
      <c r="A22" s="33" t="inlineStr">
        <is>
          <t>TOTAL</t>
        </is>
      </c>
      <c r="B22" s="34">
        <f>SUM(B13:B21)</f>
        <v/>
      </c>
      <c r="C22" s="35">
        <f>SUM(C13:C21)</f>
        <v/>
      </c>
      <c r="D22" s="33">
        <f>SUM(D13:D21)</f>
        <v/>
      </c>
      <c r="E22" s="33" t="n"/>
    </row>
    <row r="24">
      <c r="A24" s="16" t="inlineStr">
        <is>
          <t>Répartition des statuts</t>
        </is>
      </c>
      <c r="D24" s="16" t="inlineStr">
        <is>
          <t>Évolution mensuelle</t>
        </is>
      </c>
    </row>
    <row r="25">
      <c r="A25" s="36" t="inlineStr">
        <is>
          <t>À valider</t>
        </is>
      </c>
      <c r="B25" s="28">
        <f>COUNTIF('Suivi heures'!$O$6:$O$14,A25)</f>
        <v/>
      </c>
      <c r="D25" s="37" t="inlineStr">
        <is>
          <t>Mois</t>
        </is>
      </c>
      <c r="E25" s="37" t="inlineStr">
        <is>
          <t>Heures supp.</t>
        </is>
      </c>
    </row>
    <row r="26">
      <c r="A26" s="38" t="inlineStr">
        <is>
          <t>Validées</t>
        </is>
      </c>
      <c r="B26" s="31">
        <f>COUNTIF('Suivi heures'!$O$6:$O$14,A26)</f>
        <v/>
      </c>
      <c r="D26" s="28" t="inlineStr">
        <is>
          <t>Janvier</t>
        </is>
      </c>
      <c r="E26" s="8">
        <f>SUMPRODUCT((MONTH('Suivi heures'!$B$6:$B$14)=1)*'Suivi heures'!$K$6:$K$14)</f>
        <v/>
      </c>
    </row>
    <row r="27">
      <c r="A27" s="36" t="inlineStr">
        <is>
          <t>Refusées</t>
        </is>
      </c>
      <c r="B27" s="28">
        <f>COUNTIF('Suivi heures'!$O$6:$O$14,A27)</f>
        <v/>
      </c>
      <c r="D27" s="31" t="inlineStr">
        <is>
          <t>Février</t>
        </is>
      </c>
      <c r="E27" s="11">
        <f>SUMPRODUCT((MONTH('Suivi heures'!$B$6:$B$14)=2)*'Suivi heures'!$K$6:$K$14)</f>
        <v/>
      </c>
    </row>
    <row r="28">
      <c r="A28" s="38" t="inlineStr">
        <is>
          <t>Récupérées</t>
        </is>
      </c>
      <c r="B28" s="31">
        <f>COUNTIF('Suivi heures'!$O$6:$O$14,A28)</f>
        <v/>
      </c>
      <c r="D28" s="28" t="inlineStr">
        <is>
          <t>Mars</t>
        </is>
      </c>
      <c r="E28" s="8">
        <f>SUMPRODUCT((MONTH('Suivi heures'!$B$6:$B$14)=3)*'Suivi heures'!$K$6:$K$14)</f>
        <v/>
      </c>
    </row>
    <row r="29">
      <c r="D29" s="31" t="inlineStr">
        <is>
          <t>Avril</t>
        </is>
      </c>
      <c r="E29" s="11">
        <f>SUMPRODUCT((MONTH('Suivi heures'!$B$6:$B$14)=4)*'Suivi heures'!$K$6:$K$14)</f>
        <v/>
      </c>
    </row>
    <row r="30">
      <c r="D30" s="28" t="inlineStr">
        <is>
          <t>Mai</t>
        </is>
      </c>
      <c r="E30" s="8">
        <f>SUMPRODUCT((MONTH('Suivi heures'!$B$6:$B$14)=5)*'Suivi heures'!$K$6:$K$14)</f>
        <v/>
      </c>
    </row>
    <row r="31">
      <c r="D31" s="31" t="inlineStr">
        <is>
          <t>Juin</t>
        </is>
      </c>
      <c r="E31" s="11">
        <f>SUMPRODUCT((MONTH('Suivi heures'!$B$6:$B$14)=6)*'Suivi heures'!$K$6:$K$14)</f>
        <v/>
      </c>
    </row>
    <row r="32">
      <c r="D32" s="28" t="inlineStr">
        <is>
          <t>Juillet</t>
        </is>
      </c>
      <c r="E32" s="8">
        <f>SUMPRODUCT((MONTH('Suivi heures'!$B$6:$B$14)=7)*'Suivi heures'!$K$6:$K$14)</f>
        <v/>
      </c>
    </row>
  </sheetData>
  <mergeCells count="13">
    <mergeCell ref="A1:J1"/>
    <mergeCell ref="A5:C5"/>
    <mergeCell ref="A6:C6"/>
    <mergeCell ref="D5:F5"/>
    <mergeCell ref="D6:F6"/>
    <mergeCell ref="G5:I5"/>
    <mergeCell ref="G6:I6"/>
    <mergeCell ref="A8:C8"/>
    <mergeCell ref="A9:C9"/>
    <mergeCell ref="D8:F8"/>
    <mergeCell ref="D9:F9"/>
    <mergeCell ref="G8:I8"/>
    <mergeCell ref="G9:I9"/>
  </mergeCells>
  <dataValidations count="1">
    <dataValidation sqref="C3" showErrorMessage="1" showInputMessage="1" allowBlank="1" type="list">
      <formula1>"janvier 2026,février 2026,mars 2026,avril 2026,mai 2026,juin 2026,juillet 2026"</formula1>
    </dataValidation>
  </dataValidation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24" customWidth="1" min="1" max="1"/>
    <col width="12" customWidth="1" min="2" max="2"/>
    <col width="14" customWidth="1" min="3" max="3"/>
    <col width="20" customWidth="1" min="4" max="4"/>
    <col width="16" customWidth="1" min="5" max="5"/>
  </cols>
  <sheetData>
    <row r="1" ht="32" customHeight="1">
      <c r="A1" s="1" t="inlineStr">
        <is>
          <t>Paramètres — Table de référence des salariés</t>
        </is>
      </c>
    </row>
    <row r="3">
      <c r="A3" s="16" t="inlineStr">
        <is>
          <t>Salariés</t>
        </is>
      </c>
    </row>
    <row r="5" ht="26" customHeight="1">
      <c r="A5" s="3" t="inlineStr">
        <is>
          <t>Salarié</t>
        </is>
      </c>
      <c r="B5" s="3" t="inlineStr">
        <is>
          <t>Matricule</t>
        </is>
      </c>
      <c r="C5" s="3" t="inlineStr">
        <is>
          <t>Service</t>
        </is>
      </c>
      <c r="D5" s="3" t="inlineStr">
        <is>
          <t>Heures prévues/jour</t>
        </is>
      </c>
      <c r="E5" s="3" t="inlineStr">
        <is>
          <t>Taux horaire (€)</t>
        </is>
      </c>
    </row>
    <row r="6">
      <c r="A6" s="6" t="inlineStr">
        <is>
          <t>Camille Martin</t>
        </is>
      </c>
      <c r="B6" s="4" t="inlineStr">
        <is>
          <t>SAL-001</t>
        </is>
      </c>
      <c r="C6" s="6" t="inlineStr">
        <is>
          <t>Paris</t>
        </is>
      </c>
      <c r="D6" s="39" t="n">
        <v>8</v>
      </c>
      <c r="E6" s="40" t="n">
        <v>22.5</v>
      </c>
    </row>
    <row r="7">
      <c r="A7" s="6" t="inlineStr">
        <is>
          <t>Lucas Bernard</t>
        </is>
      </c>
      <c r="B7" s="4" t="inlineStr">
        <is>
          <t>SAL-002</t>
        </is>
      </c>
      <c r="C7" s="6" t="inlineStr">
        <is>
          <t>Lyon</t>
        </is>
      </c>
      <c r="D7" s="39" t="n">
        <v>8</v>
      </c>
      <c r="E7" s="40" t="n">
        <v>21</v>
      </c>
    </row>
    <row r="8">
      <c r="A8" s="6" t="inlineStr">
        <is>
          <t>Emma Dubois</t>
        </is>
      </c>
      <c r="B8" s="4" t="inlineStr">
        <is>
          <t>SAL-003</t>
        </is>
      </c>
      <c r="C8" s="6" t="inlineStr">
        <is>
          <t>Marseille</t>
        </is>
      </c>
      <c r="D8" s="39" t="n">
        <v>8</v>
      </c>
      <c r="E8" s="40" t="n">
        <v>20.5</v>
      </c>
    </row>
    <row r="9">
      <c r="A9" s="6" t="inlineStr">
        <is>
          <t>Hugo Petit</t>
        </is>
      </c>
      <c r="B9" s="4" t="inlineStr">
        <is>
          <t>SAL-004</t>
        </is>
      </c>
      <c r="C9" s="6" t="inlineStr">
        <is>
          <t>Toulouse</t>
        </is>
      </c>
      <c r="D9" s="39" t="n">
        <v>8</v>
      </c>
      <c r="E9" s="40" t="n">
        <v>19.8</v>
      </c>
    </row>
    <row r="10">
      <c r="A10" s="6" t="inlineStr">
        <is>
          <t>Léa Moreau</t>
        </is>
      </c>
      <c r="B10" s="4" t="inlineStr">
        <is>
          <t>SAL-005</t>
        </is>
      </c>
      <c r="C10" s="6" t="inlineStr">
        <is>
          <t>Bordeaux</t>
        </is>
      </c>
      <c r="D10" s="39" t="n">
        <v>8</v>
      </c>
      <c r="E10" s="40" t="n">
        <v>21.75</v>
      </c>
    </row>
    <row r="11">
      <c r="A11" s="6" t="inlineStr">
        <is>
          <t>Louis Robert</t>
        </is>
      </c>
      <c r="B11" s="4" t="inlineStr">
        <is>
          <t>SAL-006</t>
        </is>
      </c>
      <c r="C11" s="6" t="inlineStr">
        <is>
          <t>Lille</t>
        </is>
      </c>
      <c r="D11" s="39" t="n">
        <v>8</v>
      </c>
      <c r="E11" s="40" t="n">
        <v>23</v>
      </c>
    </row>
    <row r="12">
      <c r="A12" s="6" t="inlineStr">
        <is>
          <t>Chloé Richard</t>
        </is>
      </c>
      <c r="B12" s="4" t="inlineStr">
        <is>
          <t>SAL-007</t>
        </is>
      </c>
      <c r="C12" s="6" t="inlineStr">
        <is>
          <t>Nantes</t>
        </is>
      </c>
      <c r="D12" s="39" t="n">
        <v>8</v>
      </c>
      <c r="E12" s="40" t="n">
        <v>19.5</v>
      </c>
    </row>
    <row r="13">
      <c r="A13" s="6" t="inlineStr">
        <is>
          <t>Nathan Durand</t>
        </is>
      </c>
      <c r="B13" s="4" t="inlineStr">
        <is>
          <t>SAL-008</t>
        </is>
      </c>
      <c r="C13" s="6" t="inlineStr">
        <is>
          <t>Strasbourg</t>
        </is>
      </c>
      <c r="D13" s="39" t="n">
        <v>8</v>
      </c>
      <c r="E13" s="40" t="n">
        <v>22.25</v>
      </c>
    </row>
    <row r="14">
      <c r="A14" s="6" t="inlineStr">
        <is>
          <t>Manon Leroy</t>
        </is>
      </c>
      <c r="B14" s="4" t="inlineStr">
        <is>
          <t>SAL-009</t>
        </is>
      </c>
      <c r="C14" s="6" t="inlineStr">
        <is>
          <t>Nice</t>
        </is>
      </c>
      <c r="D14" s="39" t="n">
        <v>8</v>
      </c>
      <c r="E14" s="40" t="n">
        <v>20.9</v>
      </c>
    </row>
    <row r="17">
      <c r="A17" s="16" t="inlineStr">
        <is>
          <t>Taux de majoration des heures supplémentaires</t>
        </is>
      </c>
    </row>
    <row r="18">
      <c r="A18" s="18" t="inlineStr">
        <is>
          <t>Tranche</t>
        </is>
      </c>
      <c r="B18" s="18" t="inlineStr">
        <is>
          <t>Majoration</t>
        </is>
      </c>
      <c r="C18" s="18" t="inlineStr">
        <is>
          <t>Base légale / conventionnelle</t>
        </is>
      </c>
    </row>
    <row r="19">
      <c r="A19" s="27" t="inlineStr">
        <is>
          <t>De la 36e à la 43e heure hebdomadaire</t>
        </is>
      </c>
      <c r="B19" s="29" t="n">
        <v>0.25</v>
      </c>
      <c r="C19" s="27" t="inlineStr">
        <is>
          <t>Code du travail, art. L3121-36</t>
        </is>
      </c>
    </row>
    <row r="20">
      <c r="A20" s="30" t="inlineStr">
        <is>
          <t>À partir de la 44e heure hebdomadaire</t>
        </is>
      </c>
      <c r="B20" s="32" t="n">
        <v>0.5</v>
      </c>
      <c r="C20" s="30" t="inlineStr">
        <is>
          <t>Code du travail, art. L3121-36</t>
        </is>
      </c>
    </row>
    <row r="21">
      <c r="A21" s="27" t="inlineStr">
        <is>
          <t>Taux conventionnel éventuel</t>
        </is>
      </c>
      <c r="B21" s="29" t="n">
        <v>0.25</v>
      </c>
      <c r="C21" s="27" t="inlineStr">
        <is>
          <t>Selon accord collectif ou convention applicable</t>
        </is>
      </c>
    </row>
    <row r="24">
      <c r="A24" s="41" t="inlineStr">
        <is>
          <t>Note : les règles de majoration, les plafonds annuels, le repos compensateur de remplacement et les modalités de validation doivent être vérifiés selon le contrat de travail, la convention collective applicable et le Code du travail. En cas de doute, consultez le service RH ou un conseil juridique.</t>
        </is>
      </c>
    </row>
    <row r="25"/>
    <row r="26"/>
  </sheetData>
  <mergeCells count="2">
    <mergeCell ref="A1:E1"/>
    <mergeCell ref="A24:E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 customWidth="1" min="1" max="1"/>
    <col width="26" customWidth="1" min="2" max="2"/>
    <col width="90" customWidth="1" min="3" max="3"/>
  </cols>
  <sheetData>
    <row r="1" ht="32" customHeight="1">
      <c r="A1" s="1" t="inlineStr">
        <is>
          <t>Mode d'emploi — Suivi des heures supplémentaires</t>
        </is>
      </c>
    </row>
    <row r="3">
      <c r="A3" s="3" t="inlineStr">
        <is>
          <t>Étape</t>
        </is>
      </c>
      <c r="B3" s="3" t="inlineStr">
        <is>
          <t>Rubrique</t>
        </is>
      </c>
      <c r="C3" s="3" t="inlineStr">
        <is>
          <t>Consignes</t>
        </is>
      </c>
    </row>
    <row r="4" ht="40" customHeight="1">
      <c r="A4" s="28" t="inlineStr">
        <is>
          <t>1</t>
        </is>
      </c>
      <c r="B4" s="42" t="inlineStr">
        <is>
          <t>Saisie</t>
        </is>
      </c>
      <c r="C4" s="27" t="inlineStr">
        <is>
          <t>Saisissez uniquement les cellules jaunes pâle : date, salarié, matricule, service, horaires de début et de fin, pause, majoration, statut et commentaire.</t>
        </is>
      </c>
    </row>
    <row r="5" ht="40" customHeight="1">
      <c r="A5" s="31" t="inlineStr">
        <is>
          <t>2</t>
        </is>
      </c>
      <c r="B5" s="43" t="inlineStr">
        <is>
          <t>Vérification des horaires</t>
        </is>
      </c>
      <c r="C5" s="30" t="inlineStr">
        <is>
          <t>Vérifiez les horaires saisis (format HH:MM) et la durée de pause en minutes. Les heures prévues, travaillées et supplémentaires sont calculées automatiquement.</t>
        </is>
      </c>
    </row>
    <row r="6" ht="40" customHeight="1">
      <c r="A6" s="28" t="inlineStr">
        <is>
          <t>3</t>
        </is>
      </c>
      <c r="B6" s="42" t="inlineStr">
        <is>
          <t>Statut de validation</t>
        </is>
      </c>
      <c r="C6" s="27" t="inlineStr">
        <is>
          <t>Sélectionnez le statut dans la liste déroulante : À valider, Validées, Refusées ou Récupérées.</t>
        </is>
      </c>
    </row>
    <row r="7" ht="40" customHeight="1">
      <c r="A7" s="31" t="inlineStr">
        <is>
          <t>4</t>
        </is>
      </c>
      <c r="B7" s="43" t="inlineStr">
        <is>
          <t>Contrôle avant paie</t>
        </is>
      </c>
      <c r="C7" s="30" t="inlineStr">
        <is>
          <t>Contrôlez les heures supplémentaires et les montants dans la feuille Synthèse avant toute transmission à la paie.</t>
        </is>
      </c>
    </row>
    <row r="8" ht="40" customHeight="1">
      <c r="A8" s="28" t="inlineStr">
        <is>
          <t>5</t>
        </is>
      </c>
      <c r="B8" s="42" t="inlineStr">
        <is>
          <t>Distinction importante</t>
        </is>
      </c>
      <c r="C8" s="27" t="inlineStr">
        <is>
          <t>Ne confondez pas heures supplémentaires (temps plein) et heures complémentaires (temps partiel), qui obéissent à des règles différentes.</t>
        </is>
      </c>
    </row>
    <row r="9" ht="40" customHeight="1">
      <c r="A9" s="31" t="inlineStr">
        <is>
          <t>6</t>
        </is>
      </c>
      <c r="B9" s="43" t="inlineStr">
        <is>
          <t>Cadre légal</t>
        </is>
      </c>
      <c r="C9" s="30" t="inlineStr">
        <is>
          <t>Vérifiez les règles applicables : majorations (25 % / 50 %), repos compensateur, durée maximale du travail, contingent annuel et suivi RH.</t>
        </is>
      </c>
    </row>
    <row r="11">
      <c r="A11" s="2" t="inlineStr">
        <is>
          <t>Feuilles du classeur : « Suivi heures » (saisie quotidienne), « Synthèse » (indicateurs, tableaux et graphiques), « Paramètres » (données salariés et majorations). Aucune protection de feuille : travaillez librement, mais ne modifiez pas les colonnes calculées.</t>
        </is>
      </c>
    </row>
    <row r="12"/>
  </sheetData>
  <mergeCells count="2">
    <mergeCell ref="A1:C1"/>
    <mergeCell ref="A11:C1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2026-07-30T12:55:11Z</dcterms:created>
  <dcterms:modified xmlns:dcterms="http://purl.org/dc/terms/" xmlns:xsi="http://www.w3.org/2001/XMLSchema-instance" xsi:type="dcterms:W3CDTF">2026-07-30T12:55:11Z</dcterms:modified>
</cp:coreProperties>
</file>