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drawings/drawing1.xml" ContentType="application/vnd.openxmlformats-officedocument.drawing+xml"/>
  <Override PartName="/xl/worksheets/sheet5.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uches" sheetId="1" state="visible" r:id="rId1"/>
    <sheet xmlns:r="http://schemas.openxmlformats.org/officeDocument/2006/relationships" name="Visites" sheetId="2" state="visible" r:id="rId2"/>
    <sheet xmlns:r="http://schemas.openxmlformats.org/officeDocument/2006/relationships" name="Récoltes" sheetId="3" state="visible" r:id="rId3"/>
    <sheet xmlns:r="http://schemas.openxmlformats.org/officeDocument/2006/relationships" name="Tableau de bord" sheetId="4" state="visible" r:id="rId4"/>
    <sheet xmlns:r="http://schemas.openxmlformats.org/officeDocument/2006/relationships" name="Mode d'emploi" sheetId="5" state="visible" r:id="rId5"/>
  </sheets>
  <definedNames/>
  <calcPr calcId="124519" fullCalcOnLoad="1"/>
</workbook>
</file>

<file path=xl/styles.xml><?xml version="1.0" encoding="utf-8"?>
<styleSheet xmlns="http://schemas.openxmlformats.org/spreadsheetml/2006/main">
  <numFmts count="6">
    <numFmt numFmtId="164" formatCode="DD/MM/YYYY"/>
    <numFmt numFmtId="165" formatCode="0.00 &quot;kg&quot;"/>
    <numFmt numFmtId="166" formatCode="0.0 &quot;°C&quot;"/>
    <numFmt numFmtId="167" formatCode="yyyy-mm-dd"/>
    <numFmt numFmtId="168" formatCode="0.0 &quot;%&quot;"/>
    <numFmt numFmtId="169" formatCode="0.0%"/>
  </numFmts>
  <fonts count="6">
    <font>
      <name val="Calibri"/>
      <family val="2"/>
      <color theme="1"/>
      <sz val="11"/>
      <scheme val="minor"/>
    </font>
    <font>
      <name val="Calibri"/>
      <b val="1"/>
      <color rgb="00FFFFFF"/>
      <sz val="14"/>
    </font>
    <font>
      <name val="Calibri"/>
      <b val="1"/>
      <color rgb="00FFFFFF"/>
      <sz val="11"/>
    </font>
    <font>
      <name val="Calibri"/>
      <color rgb="001F2937"/>
      <sz val="11"/>
    </font>
    <font>
      <name val="Calibri"/>
      <b val="1"/>
      <color rgb="001F2937"/>
      <sz val="11"/>
    </font>
    <font>
      <name val="Calibri"/>
      <b val="1"/>
      <color rgb="00FFFFFF"/>
      <sz val="16"/>
    </font>
  </fonts>
  <fills count="7">
    <fill>
      <patternFill/>
    </fill>
    <fill>
      <patternFill patternType="gray125"/>
    </fill>
    <fill>
      <patternFill patternType="solid">
        <fgColor rgb="004A2AA5"/>
      </patternFill>
    </fill>
    <fill>
      <patternFill patternType="solid">
        <fgColor rgb="00F1EDFB"/>
      </patternFill>
    </fill>
    <fill>
      <patternFill patternType="solid">
        <fgColor rgb="00FFFBEB"/>
      </patternFill>
    </fill>
    <fill>
      <patternFill patternType="solid">
        <fgColor rgb="00FF6B4A"/>
      </patternFill>
    </fill>
    <fill>
      <patternFill patternType="solid">
        <fgColor rgb="005D3BC4"/>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39">
    <xf numFmtId="0" fontId="0" fillId="0" borderId="0" pivotButton="0" quotePrefix="0" xfId="0"/>
    <xf numFmtId="0" fontId="1" fillId="2" borderId="0" applyAlignment="1" pivotButton="0" quotePrefix="0" xfId="0">
      <alignment horizontal="center" vertical="center" wrapText="1"/>
    </xf>
    <xf numFmtId="0" fontId="2" fillId="2" borderId="1" applyAlignment="1" pivotButton="0" quotePrefix="0" xfId="0">
      <alignment horizontal="center" vertical="center" wrapText="1"/>
    </xf>
    <xf numFmtId="0" fontId="3" fillId="4" borderId="1" applyAlignment="1" pivotButton="0" quotePrefix="0" xfId="0">
      <alignment horizontal="center" vertical="center" wrapText="1"/>
    </xf>
    <xf numFmtId="0" fontId="3" fillId="4" borderId="1" applyAlignment="1" pivotButton="0" quotePrefix="0" xfId="0">
      <alignment horizontal="left" vertical="center" wrapText="1"/>
    </xf>
    <xf numFmtId="164" fontId="3" fillId="4" borderId="1" applyAlignment="1" pivotButton="0" quotePrefix="0" xfId="0">
      <alignment horizontal="center" vertical="center" wrapText="1"/>
    </xf>
    <xf numFmtId="164" fontId="3" fillId="3" borderId="1" applyAlignment="1" pivotButton="0" quotePrefix="0" xfId="0">
      <alignment horizontal="center" vertical="center" wrapText="1"/>
    </xf>
    <xf numFmtId="165" fontId="4" fillId="3" borderId="1" applyAlignment="1" pivotButton="0" quotePrefix="0" xfId="0">
      <alignment horizontal="center" vertical="center" wrapText="1"/>
    </xf>
    <xf numFmtId="164" fontId="3" fillId="0" borderId="1" applyAlignment="1" pivotButton="0" quotePrefix="0" xfId="0">
      <alignment horizontal="center" vertical="center" wrapText="1"/>
    </xf>
    <xf numFmtId="165" fontId="4" fillId="0" borderId="1" applyAlignment="1" pivotButton="0" quotePrefix="0" xfId="0">
      <alignment horizontal="center" vertical="center" wrapText="1"/>
    </xf>
    <xf numFmtId="0" fontId="4" fillId="5" borderId="1" applyAlignment="1" pivotButton="0" quotePrefix="0" xfId="0">
      <alignment horizontal="center" vertical="center" wrapText="1"/>
    </xf>
    <xf numFmtId="165" fontId="4" fillId="5" borderId="1" applyAlignment="1" pivotButton="0" quotePrefix="0" xfId="0">
      <alignment horizontal="center" vertical="center" wrapText="1"/>
    </xf>
    <xf numFmtId="0" fontId="3" fillId="3" borderId="1" applyAlignment="1" pivotButton="0" quotePrefix="0" xfId="0">
      <alignment horizontal="left" vertical="center" wrapText="1"/>
    </xf>
    <xf numFmtId="166" fontId="3" fillId="4" borderId="1" applyAlignment="1" pivotButton="0" quotePrefix="0" xfId="0">
      <alignment horizontal="center" vertical="center" wrapText="1"/>
    </xf>
    <xf numFmtId="165" fontId="3" fillId="4" borderId="1" applyAlignment="1" pivotButton="0" quotePrefix="0" xfId="0">
      <alignment horizontal="center" vertical="center" wrapText="1"/>
    </xf>
    <xf numFmtId="167" fontId="3" fillId="4" borderId="1" applyAlignment="1" pivotButton="0" quotePrefix="0" xfId="0">
      <alignment horizontal="left" vertical="center" wrapText="1"/>
    </xf>
    <xf numFmtId="0" fontId="3" fillId="0" borderId="1" applyAlignment="1" pivotButton="0" quotePrefix="0" xfId="0">
      <alignment horizontal="center" vertical="center" wrapText="1"/>
    </xf>
    <xf numFmtId="0" fontId="4" fillId="0" borderId="1" applyAlignment="1" pivotButton="0" quotePrefix="0" xfId="0">
      <alignment horizontal="center" vertical="center" wrapText="1"/>
    </xf>
    <xf numFmtId="0" fontId="3" fillId="0" borderId="1" applyAlignment="1" pivotButton="0" quotePrefix="0" xfId="0">
      <alignment horizontal="left" vertical="center" wrapText="1"/>
    </xf>
    <xf numFmtId="168" fontId="3" fillId="4" borderId="1" applyAlignment="1" pivotButton="0" quotePrefix="0" xfId="0">
      <alignment horizontal="center" vertical="center" wrapText="1"/>
    </xf>
    <xf numFmtId="0" fontId="4" fillId="3" borderId="1" applyAlignment="1" pivotButton="0" quotePrefix="0" xfId="0">
      <alignment horizontal="center" vertical="center" wrapText="1"/>
    </xf>
    <xf numFmtId="168" fontId="4" fillId="5" borderId="1" applyAlignment="1" pivotButton="0" quotePrefix="0" xfId="0">
      <alignment horizontal="center" vertical="center" wrapText="1"/>
    </xf>
    <xf numFmtId="0" fontId="2" fillId="6" borderId="1" applyAlignment="1" pivotButton="0" quotePrefix="0" xfId="0">
      <alignment horizontal="left" vertical="center" wrapText="1"/>
    </xf>
    <xf numFmtId="1" fontId="4" fillId="5" borderId="1" applyAlignment="1" pivotButton="0" quotePrefix="0" xfId="0">
      <alignment horizontal="center" vertical="center" wrapText="1"/>
    </xf>
    <xf numFmtId="0" fontId="2" fillId="2" borderId="1" pivotButton="0" quotePrefix="0" xfId="0"/>
    <xf numFmtId="165" fontId="3" fillId="0" borderId="1" applyAlignment="1" pivotButton="0" quotePrefix="0" xfId="0">
      <alignment horizontal="center" vertical="center" wrapText="1"/>
    </xf>
    <xf numFmtId="169" fontId="4" fillId="5" borderId="1" applyAlignment="1" pivotButton="0" quotePrefix="0" xfId="0">
      <alignment horizontal="center" vertical="center" wrapText="1"/>
    </xf>
    <xf numFmtId="0" fontId="5" fillId="2" borderId="0" applyAlignment="1" pivotButton="0" quotePrefix="0" xfId="0">
      <alignment horizontal="center" vertical="center" wrapText="1"/>
    </xf>
    <xf numFmtId="0" fontId="2" fillId="6" borderId="1" applyAlignment="1" pivotButton="0" quotePrefix="0" xfId="0">
      <alignment horizontal="center" vertical="center" wrapText="1"/>
    </xf>
    <xf numFmtId="164" fontId="3" fillId="4" borderId="1" applyAlignment="1" pivotButton="0" quotePrefix="0" xfId="0">
      <alignment horizontal="center" vertical="center" wrapText="1"/>
    </xf>
    <xf numFmtId="164" fontId="3" fillId="3" borderId="1" applyAlignment="1" pivotButton="0" quotePrefix="0" xfId="0">
      <alignment horizontal="center" vertical="center" wrapText="1"/>
    </xf>
    <xf numFmtId="165" fontId="4" fillId="3" borderId="1" applyAlignment="1" pivotButton="0" quotePrefix="0" xfId="0">
      <alignment horizontal="center" vertical="center" wrapText="1"/>
    </xf>
    <xf numFmtId="164" fontId="3" fillId="0" borderId="1" applyAlignment="1" pivotButton="0" quotePrefix="0" xfId="0">
      <alignment horizontal="center" vertical="center" wrapText="1"/>
    </xf>
    <xf numFmtId="165" fontId="4" fillId="0" borderId="1" applyAlignment="1" pivotButton="0" quotePrefix="0" xfId="0">
      <alignment horizontal="center" vertical="center" wrapText="1"/>
    </xf>
    <xf numFmtId="165" fontId="4" fillId="5" borderId="1" applyAlignment="1" pivotButton="0" quotePrefix="0" xfId="0">
      <alignment horizontal="center" vertical="center" wrapText="1"/>
    </xf>
    <xf numFmtId="166" fontId="3" fillId="4" borderId="1" applyAlignment="1" pivotButton="0" quotePrefix="0" xfId="0">
      <alignment horizontal="center" vertical="center" wrapText="1"/>
    </xf>
    <xf numFmtId="165" fontId="3" fillId="4" borderId="1" applyAlignment="1" pivotButton="0" quotePrefix="0" xfId="0">
      <alignment horizontal="center" vertical="center" wrapText="1"/>
    </xf>
    <xf numFmtId="167" fontId="3" fillId="4" borderId="1" applyAlignment="1" pivotButton="0" quotePrefix="0" xfId="0">
      <alignment horizontal="left" vertical="center" wrapText="1"/>
    </xf>
    <xf numFmtId="165" fontId="3" fillId="0" borderId="1" applyAlignment="1" pivotButton="0" quotePrefix="0" xfId="0">
      <alignment horizontal="center" vertical="center" wrapText="1"/>
    </xf>
  </cellXfs>
  <cellStyles count="1">
    <cellStyle name="Normal" xfId="0" builtinId="0" hidden="0"/>
  </cellStyles>
  <dxfs count="2">
    <dxf>
      <font>
        <b val="1"/>
        <color rgb="0016A34A"/>
      </font>
    </dxf>
    <dxf>
      <font>
        <b val="1"/>
        <color rgb="00DC2626"/>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Production de miel par ruche (kg)</a:t>
            </a:r>
          </a:p>
        </rich>
      </tx>
    </title>
    <plotArea>
      <barChart>
        <barDir val="col"/>
        <grouping val="clustered"/>
        <ser>
          <idx val="0"/>
          <order val="0"/>
          <tx>
            <strRef>
              <f>'Tableau de bord'!E3</f>
            </strRef>
          </tx>
          <spPr>
            <a:solidFill xmlns:a="http://schemas.openxmlformats.org/drawingml/2006/main">
              <a:srgbClr val="4A2AA5"/>
            </a:solidFill>
            <a:ln xmlns:a="http://schemas.openxmlformats.org/drawingml/2006/main">
              <a:prstDash val="solid"/>
            </a:ln>
          </spPr>
          <cat>
            <numRef>
              <f>'Tableau de bord'!$D$4:$D$13</f>
            </numRef>
          </cat>
          <val>
            <numRef>
              <f>'Tableau de bord'!$E$4:$E$13</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Ruche</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Kilogrammes</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Répartition des ruches par statut</a:t>
            </a:r>
          </a:p>
        </rich>
      </tx>
    </title>
    <plotArea>
      <pieChart>
        <varyColors val="1"/>
        <ser>
          <idx val="0"/>
          <order val="0"/>
          <tx>
            <strRef>
              <f>'Tableau de bord'!E16</f>
            </strRef>
          </tx>
          <spPr>
            <a:ln xmlns:a="http://schemas.openxmlformats.org/drawingml/2006/main">
              <a:prstDash val="solid"/>
            </a:ln>
          </spPr>
          <cat>
            <numRef>
              <f>'Tableau de bord'!$D$17:$D$20</f>
            </numRef>
          </cat>
          <val>
            <numRef>
              <f>'Tableau de bord'!$E$17:$E$20</f>
            </numRef>
          </val>
        </ser>
        <firstSliceAng val="0"/>
      </pieChart>
    </plotArea>
    <legend>
      <legendPos val="r"/>
    </legend>
    <plotVisOnly val="1"/>
    <dispBlanksAs val="gap"/>
  </chart>
</chartSpace>
</file>

<file path=xl/charts/chart3.xml><?xml version="1.0" encoding="utf-8"?>
<chartSpace xmlns="http://schemas.openxmlformats.org/drawingml/2006/chart">
  <chart>
    <title>
      <tx>
        <rich>
          <a:bodyPr xmlns:a="http://schemas.openxmlformats.org/drawingml/2006/main"/>
          <a:p xmlns:a="http://schemas.openxmlformats.org/drawingml/2006/main">
            <a:pPr>
              <a:defRPr/>
            </a:pPr>
            <a:r>
              <a:t>Nombre de visites par mois (2026)</a:t>
            </a:r>
          </a:p>
        </rich>
      </tx>
    </title>
    <plotArea>
      <lineChart>
        <grouping val="standard"/>
        <ser>
          <idx val="0"/>
          <order val="0"/>
          <tx>
            <strRef>
              <f>'Tableau de bord'!E23</f>
            </strRef>
          </tx>
          <spPr>
            <a:ln xmlns:a="http://schemas.openxmlformats.org/drawingml/2006/main" w="28000">
              <a:solidFill>
                <a:srgbClr val="FF6B4A"/>
              </a:solidFill>
              <a:prstDash val="solid"/>
            </a:ln>
          </spPr>
          <marker>
            <symbol val="none"/>
            <spPr>
              <a:ln xmlns:a="http://schemas.openxmlformats.org/drawingml/2006/main">
                <a:prstDash val="solid"/>
              </a:ln>
            </spPr>
          </marker>
          <cat>
            <numRef>
              <f>'Tableau de bord'!$D$24:$D$27</f>
            </numRef>
          </cat>
          <val>
            <numRef>
              <f>'Tableau de bord'!$E$24:$E$27</f>
            </numRef>
          </val>
          <smooth val="0"/>
        </ser>
        <axId val="10"/>
        <axId val="100"/>
      </lineChart>
      <catAx>
        <axId val="10"/>
        <scaling>
          <orientation val="minMax"/>
        </scaling>
        <axPos val="l"/>
        <title>
          <tx>
            <rich>
              <a:bodyPr xmlns:a="http://schemas.openxmlformats.org/drawingml/2006/main"/>
              <a:p xmlns:a="http://schemas.openxmlformats.org/drawingml/2006/main">
                <a:pPr>
                  <a:defRPr/>
                </a:pPr>
                <a:r>
                  <a:t>Mois</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Visites</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 Type="http://schemas.openxmlformats.org/officeDocument/2006/relationships/chart" Target="/xl/charts/chart3.xml" Id="rId3"/></Relationships>
</file>

<file path=xl/drawings/drawing1.xml><?xml version="1.0" encoding="utf-8"?>
<wsDr xmlns="http://schemas.openxmlformats.org/drawingml/2006/spreadsheetDrawing">
  <oneCellAnchor>
    <from>
      <col>6</col>
      <colOff>0</colOff>
      <row>2</row>
      <rowOff>0</rowOff>
    </from>
    <ext cx="5760000" cy="324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6</col>
      <colOff>0</colOff>
      <row>21</row>
      <rowOff>0</rowOff>
    </from>
    <ext cx="5760000" cy="324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oneCellAnchor>
    <from>
      <col>6</col>
      <colOff>0</colOff>
      <row>40</row>
      <rowOff>0</rowOff>
    </from>
    <ext cx="5760000" cy="3240000"/>
    <graphicFrame>
      <nvGraphicFramePr>
        <cNvPr id="3" name="Chart 3"/>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3"/>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N13"/>
  <sheetViews>
    <sheetView workbookViewId="0">
      <pane ySplit="2" topLeftCell="A3" activePane="bottomLeft" state="frozen"/>
      <selection pane="bottomLeft" activeCell="A1" sqref="A1"/>
    </sheetView>
  </sheetViews>
  <sheetFormatPr baseColWidth="8" defaultRowHeight="15"/>
  <cols>
    <col width="10" customWidth="1" min="1" max="1"/>
    <col width="18" customWidth="1" min="2" max="2"/>
    <col width="14" customWidth="1" min="3" max="3"/>
    <col width="12" customWidth="1" min="4" max="4"/>
    <col width="14" customWidth="1" min="5" max="5"/>
    <col width="18" customWidth="1" min="6" max="6"/>
    <col width="20" customWidth="1" min="7" max="7"/>
    <col width="13" customWidth="1" min="8" max="8"/>
    <col width="18" customWidth="1" min="9" max="9"/>
    <col width="14" customWidth="1" min="10" max="10"/>
    <col width="14" customWidth="1" min="11" max="11"/>
    <col width="14" customWidth="1" min="12" max="12"/>
    <col width="18" customWidth="1" min="13" max="13"/>
    <col width="32" customWidth="1" min="14" max="14"/>
  </cols>
  <sheetData>
    <row r="1" ht="30" customHeight="1">
      <c r="A1" s="1" t="inlineStr">
        <is>
          <t>Fiche de suivi du rucher — Registre des ruches</t>
        </is>
      </c>
    </row>
    <row r="2" ht="32" customHeight="1">
      <c r="A2" s="2" t="inlineStr">
        <is>
          <t>ID ruche</t>
        </is>
      </c>
      <c r="B2" s="2" t="inlineStr">
        <is>
          <t>Rucher</t>
        </is>
      </c>
      <c r="C2" s="2" t="inlineStr">
        <is>
          <t>Ville</t>
        </is>
      </c>
      <c r="D2" s="2" t="inlineStr">
        <is>
          <t>Code postal</t>
        </is>
      </c>
      <c r="E2" s="2" t="inlineStr">
        <is>
          <t>Type de ruche</t>
        </is>
      </c>
      <c r="F2" s="2" t="inlineStr">
        <is>
          <t>Date de mise en service</t>
        </is>
      </c>
      <c r="G2" s="2" t="inlineStr">
        <is>
          <t>Origine de la colonie</t>
        </is>
      </c>
      <c r="H2" s="2" t="inlineStr">
        <is>
          <t>Reine — année</t>
        </is>
      </c>
      <c r="I2" s="2" t="inlineStr">
        <is>
          <t>Race / lignée</t>
        </is>
      </c>
      <c r="J2" s="2" t="inlineStr">
        <is>
          <t>Statut</t>
        </is>
      </c>
      <c r="K2" s="2" t="inlineStr">
        <is>
          <t>Dernière visite</t>
        </is>
      </c>
      <c r="L2" s="2" t="inlineStr">
        <is>
          <t>Nombre de cadres occupés</t>
        </is>
      </c>
      <c r="M2" s="2" t="inlineStr">
        <is>
          <t>Production cumulée (kg)</t>
        </is>
      </c>
      <c r="N2" s="2" t="inlineStr">
        <is>
          <t>Notes</t>
        </is>
      </c>
    </row>
    <row r="3">
      <c r="A3" s="3" t="inlineStr">
        <is>
          <t>R001</t>
        </is>
      </c>
      <c r="B3" s="4" t="inlineStr">
        <is>
          <t>Rucher des Buttes</t>
        </is>
      </c>
      <c r="C3" s="4" t="inlineStr">
        <is>
          <t>Paris</t>
        </is>
      </c>
      <c r="D3" s="3" t="inlineStr">
        <is>
          <t>75019</t>
        </is>
      </c>
      <c r="E3" s="3" t="inlineStr">
        <is>
          <t>Dadant 10</t>
        </is>
      </c>
      <c r="F3" s="29" t="n">
        <v>46093</v>
      </c>
      <c r="G3" s="4" t="inlineStr">
        <is>
          <t>Essaim capturé</t>
        </is>
      </c>
      <c r="H3" s="3" t="n">
        <v>2025</v>
      </c>
      <c r="I3" s="4" t="inlineStr">
        <is>
          <t>Abeille noire</t>
        </is>
      </c>
      <c r="J3" s="3" t="inlineStr">
        <is>
          <t>Active</t>
        </is>
      </c>
      <c r="K3" s="30">
        <f>IFERROR(_xlfn.MAXIFS(Visites!$B$3:$B$200,Visites!$A$3:$A$200,A3),"")</f>
        <v/>
      </c>
      <c r="L3" s="3" t="n">
        <v>9</v>
      </c>
      <c r="M3" s="31">
        <f>SUMIF(Récoltes!$A$3:$A$200,A3,Récoltes!$D$3:$D$200)</f>
        <v/>
      </c>
      <c r="N3" s="4" t="inlineStr">
        <is>
          <t>Colonie très douce, proche du potager.</t>
        </is>
      </c>
    </row>
    <row r="4">
      <c r="A4" s="3" t="inlineStr">
        <is>
          <t>R002</t>
        </is>
      </c>
      <c r="B4" s="4" t="inlineStr">
        <is>
          <t>Rucher de la Croix-Rousse</t>
        </is>
      </c>
      <c r="C4" s="4" t="inlineStr">
        <is>
          <t>Lyon</t>
        </is>
      </c>
      <c r="D4" s="3" t="inlineStr">
        <is>
          <t>69004</t>
        </is>
      </c>
      <c r="E4" s="3" t="inlineStr">
        <is>
          <t>Dadant 12</t>
        </is>
      </c>
      <c r="F4" s="29" t="n">
        <v>46099</v>
      </c>
      <c r="G4" s="4" t="inlineStr">
        <is>
          <t>Division d'essaim</t>
        </is>
      </c>
      <c r="H4" s="3" t="n">
        <v>2024</v>
      </c>
      <c r="I4" s="4" t="inlineStr">
        <is>
          <t>Buckfast</t>
        </is>
      </c>
      <c r="J4" s="3" t="inlineStr">
        <is>
          <t>À surveiller</t>
        </is>
      </c>
      <c r="K4" s="32">
        <f>IFERROR(_xlfn.MAXIFS(Visites!$B$3:$B$200,Visites!$A$3:$A$200,A4),"")</f>
        <v/>
      </c>
      <c r="L4" s="3" t="n">
        <v>6</v>
      </c>
      <c r="M4" s="33">
        <f>SUMIF(Récoltes!$A$3:$A$200,A4,Récoltes!$D$3:$D$200)</f>
        <v/>
      </c>
      <c r="N4" s="4" t="inlineStr">
        <is>
          <t>Réserves faibles au printemps.</t>
        </is>
      </c>
    </row>
    <row r="5">
      <c r="A5" s="3" t="inlineStr">
        <is>
          <t>R003</t>
        </is>
      </c>
      <c r="B5" s="4" t="inlineStr">
        <is>
          <t>Rucher du Prado</t>
        </is>
      </c>
      <c r="C5" s="4" t="inlineStr">
        <is>
          <t>Marseille</t>
        </is>
      </c>
      <c r="D5" s="3" t="inlineStr">
        <is>
          <t>13008</t>
        </is>
      </c>
      <c r="E5" s="3" t="inlineStr">
        <is>
          <t>Langstroth</t>
        </is>
      </c>
      <c r="F5" s="29" t="n">
        <v>46080</v>
      </c>
      <c r="G5" s="4" t="inlineStr">
        <is>
          <t>Colonie achetée</t>
        </is>
      </c>
      <c r="H5" s="3" t="n">
        <v>2026</v>
      </c>
      <c r="I5" s="4" t="inlineStr">
        <is>
          <t>Italienne</t>
        </is>
      </c>
      <c r="J5" s="3" t="inlineStr">
        <is>
          <t>Active</t>
        </is>
      </c>
      <c r="K5" s="30">
        <f>IFERROR(_xlfn.MAXIFS(Visites!$B$3:$B$200,Visites!$A$3:$A$200,A5),"")</f>
        <v/>
      </c>
      <c r="L5" s="3" t="n">
        <v>10</v>
      </c>
      <c r="M5" s="31">
        <f>SUMIF(Récoltes!$A$3:$A$200,A5,Récoltes!$D$3:$D$200)</f>
        <v/>
      </c>
      <c r="N5" s="4" t="inlineStr">
        <is>
          <t>Pose de hausse prévue en avril.</t>
        </is>
      </c>
    </row>
    <row r="6">
      <c r="A6" s="3" t="inlineStr">
        <is>
          <t>R004</t>
        </is>
      </c>
      <c r="B6" s="4" t="inlineStr">
        <is>
          <t>Rucher de la Prairie</t>
        </is>
      </c>
      <c r="C6" s="4" t="inlineStr">
        <is>
          <t>Toulouse</t>
        </is>
      </c>
      <c r="D6" s="3" t="inlineStr">
        <is>
          <t>31400</t>
        </is>
      </c>
      <c r="E6" s="3" t="inlineStr">
        <is>
          <t>Dadant 10</t>
        </is>
      </c>
      <c r="F6" s="29" t="n">
        <v>46114</v>
      </c>
      <c r="G6" s="4" t="inlineStr">
        <is>
          <t>Essaim capturé</t>
        </is>
      </c>
      <c r="H6" s="3" t="n">
        <v>2025</v>
      </c>
      <c r="I6" s="4" t="inlineStr">
        <is>
          <t>Carnica</t>
        </is>
      </c>
      <c r="J6" s="3" t="inlineStr">
        <is>
          <t>À surveiller</t>
        </is>
      </c>
      <c r="K6" s="32">
        <f>IFERROR(_xlfn.MAXIFS(Visites!$B$3:$B$200,Visites!$A$3:$A$200,A6),"")</f>
        <v/>
      </c>
      <c r="L6" s="3" t="n">
        <v>8</v>
      </c>
      <c r="M6" s="33">
        <f>SUMIF(Récoltes!$A$3:$A$200,A6,Récoltes!$D$3:$D$200)</f>
        <v/>
      </c>
      <c r="N6" s="4" t="inlineStr">
        <is>
          <t>Tendance à l'essaimage observée.</t>
        </is>
      </c>
    </row>
    <row r="7">
      <c r="A7" s="3" t="inlineStr">
        <is>
          <t>R005</t>
        </is>
      </c>
      <c r="B7" s="4" t="inlineStr">
        <is>
          <t>Rucher des Quais</t>
        </is>
      </c>
      <c r="C7" s="4" t="inlineStr">
        <is>
          <t>Bordeaux</t>
        </is>
      </c>
      <c r="D7" s="3" t="inlineStr">
        <is>
          <t>33000</t>
        </is>
      </c>
      <c r="E7" s="3" t="inlineStr">
        <is>
          <t>Langstroth</t>
        </is>
      </c>
      <c r="F7" s="29" t="n">
        <v>46086</v>
      </c>
      <c r="G7" s="4" t="inlineStr">
        <is>
          <t>Colonie achetée</t>
        </is>
      </c>
      <c r="H7" s="3" t="n">
        <v>2024</v>
      </c>
      <c r="I7" s="4" t="inlineStr">
        <is>
          <t>Buckfast</t>
        </is>
      </c>
      <c r="J7" s="3" t="inlineStr">
        <is>
          <t>Active</t>
        </is>
      </c>
      <c r="K7" s="30">
        <f>IFERROR(_xlfn.MAXIFS(Visites!$B$3:$B$200,Visites!$A$3:$A$200,A7),"")</f>
        <v/>
      </c>
      <c r="L7" s="3" t="n">
        <v>9</v>
      </c>
      <c r="M7" s="31">
        <f>SUMIF(Récoltes!$A$3:$A$200,A7,Récoltes!$D$3:$D$200)</f>
        <v/>
      </c>
      <c r="N7" s="4" t="inlineStr">
        <is>
          <t>Suivi sanitaire renforcé (varroa).</t>
        </is>
      </c>
    </row>
    <row r="8">
      <c r="A8" s="3" t="inlineStr">
        <is>
          <t>R006</t>
        </is>
      </c>
      <c r="B8" s="4" t="inlineStr">
        <is>
          <t>Rucher de Wazemmes</t>
        </is>
      </c>
      <c r="C8" s="4" t="inlineStr">
        <is>
          <t>Lille</t>
        </is>
      </c>
      <c r="D8" s="3" t="inlineStr">
        <is>
          <t>59000</t>
        </is>
      </c>
      <c r="E8" s="3" t="inlineStr">
        <is>
          <t>Dadant 10</t>
        </is>
      </c>
      <c r="F8" s="29" t="n">
        <v>46121</v>
      </c>
      <c r="G8" s="4" t="inlineStr">
        <is>
          <t>Division d'essaim</t>
        </is>
      </c>
      <c r="H8" s="3" t="n">
        <v>2026</v>
      </c>
      <c r="I8" s="4" t="inlineStr">
        <is>
          <t>Abeille noire</t>
        </is>
      </c>
      <c r="J8" s="3" t="inlineStr">
        <is>
          <t>Hivernage</t>
        </is>
      </c>
      <c r="K8" s="32">
        <f>IFERROR(_xlfn.MAXIFS(Visites!$B$3:$B$200,Visites!$A$3:$A$200,A8),"")</f>
        <v/>
      </c>
      <c r="L8" s="3" t="n">
        <v>5</v>
      </c>
      <c r="M8" s="33">
        <f>SUMIF(Récoltes!$A$3:$A$200,A8,Récoltes!$D$3:$D$200)</f>
        <v/>
      </c>
      <c r="N8" s="4" t="inlineStr">
        <is>
          <t>Nourrissement effectué fin mai.</t>
        </is>
      </c>
    </row>
    <row r="9">
      <c r="A9" s="3" t="inlineStr">
        <is>
          <t>R007</t>
        </is>
      </c>
      <c r="B9" s="4" t="inlineStr">
        <is>
          <t>Rucher de l'Erdre</t>
        </is>
      </c>
      <c r="C9" s="4" t="inlineStr">
        <is>
          <t>Nantes</t>
        </is>
      </c>
      <c r="D9" s="3" t="inlineStr">
        <is>
          <t>44000</t>
        </is>
      </c>
      <c r="E9" s="3" t="inlineStr">
        <is>
          <t>Dadant 12</t>
        </is>
      </c>
      <c r="F9" s="29" t="n">
        <v>46103</v>
      </c>
      <c r="G9" s="4" t="inlineStr">
        <is>
          <t>Essaim capturé</t>
        </is>
      </c>
      <c r="H9" s="3" t="n">
        <v>2025</v>
      </c>
      <c r="I9" s="4" t="inlineStr">
        <is>
          <t>Italienne</t>
        </is>
      </c>
      <c r="J9" s="3" t="inlineStr">
        <is>
          <t>Active</t>
        </is>
      </c>
      <c r="K9" s="30">
        <f>IFERROR(_xlfn.MAXIFS(Visites!$B$3:$B$200,Visites!$A$3:$A$200,A9),"")</f>
        <v/>
      </c>
      <c r="L9" s="3" t="n">
        <v>10</v>
      </c>
      <c r="M9" s="31">
        <f>SUMIF(Récoltes!$A$3:$A$200,A9,Récoltes!$D$3:$D$200)</f>
        <v/>
      </c>
      <c r="N9" s="4" t="inlineStr">
        <is>
          <t>Très bonne productrice.</t>
        </is>
      </c>
    </row>
    <row r="10">
      <c r="A10" s="3" t="inlineStr">
        <is>
          <t>R008</t>
        </is>
      </c>
      <c r="B10" s="4" t="inlineStr">
        <is>
          <t>Rucher de l'Orangerie</t>
        </is>
      </c>
      <c r="C10" s="4" t="inlineStr">
        <is>
          <t>Strasbourg</t>
        </is>
      </c>
      <c r="D10" s="3" t="inlineStr">
        <is>
          <t>67000</t>
        </is>
      </c>
      <c r="E10" s="3" t="inlineStr">
        <is>
          <t>Langstroth</t>
        </is>
      </c>
      <c r="F10" s="29" t="n">
        <v>46127</v>
      </c>
      <c r="G10" s="4" t="inlineStr">
        <is>
          <t>Colonie achetée</t>
        </is>
      </c>
      <c r="H10" s="3" t="n">
        <v>2026</v>
      </c>
      <c r="I10" s="4" t="inlineStr">
        <is>
          <t>Carnica</t>
        </is>
      </c>
      <c r="J10" s="3" t="inlineStr">
        <is>
          <t>Active</t>
        </is>
      </c>
      <c r="K10" s="32">
        <f>IFERROR(_xlfn.MAXIFS(Visites!$B$3:$B$200,Visites!$A$3:$A$200,A10),"")</f>
        <v/>
      </c>
      <c r="L10" s="3" t="n">
        <v>7</v>
      </c>
      <c r="M10" s="33">
        <f>SUMIF(Récoltes!$A$3:$A$200,A10,Récoltes!$D$3:$D$200)</f>
        <v/>
      </c>
      <c r="N10" s="4" t="inlineStr">
        <is>
          <t>Reine de 2026 bien acceptée.</t>
        </is>
      </c>
    </row>
    <row r="11">
      <c r="A11" s="3" t="inlineStr">
        <is>
          <t>R009</t>
        </is>
      </c>
      <c r="B11" s="4" t="inlineStr">
        <is>
          <t>Rucher du Mont-Boron</t>
        </is>
      </c>
      <c r="C11" s="4" t="inlineStr">
        <is>
          <t>Nice</t>
        </is>
      </c>
      <c r="D11" s="3" t="inlineStr">
        <is>
          <t>06300</t>
        </is>
      </c>
      <c r="E11" s="3" t="inlineStr">
        <is>
          <t>Dadant 10</t>
        </is>
      </c>
      <c r="F11" s="29" t="n">
        <v>46111</v>
      </c>
      <c r="G11" s="4" t="inlineStr">
        <is>
          <t>Division d'essaim</t>
        </is>
      </c>
      <c r="H11" s="3" t="n">
        <v>2024</v>
      </c>
      <c r="I11" s="4" t="inlineStr">
        <is>
          <t>Italienne</t>
        </is>
      </c>
      <c r="J11" s="3" t="inlineStr">
        <is>
          <t>À surveiller</t>
        </is>
      </c>
      <c r="K11" s="30">
        <f>IFERROR(_xlfn.MAXIFS(Visites!$B$3:$B$200,Visites!$A$3:$A$200,A11),"")</f>
        <v/>
      </c>
      <c r="L11" s="3" t="n">
        <v>6</v>
      </c>
      <c r="M11" s="31">
        <f>SUMIF(Récoltes!$A$3:$A$200,A11,Récoltes!$D$3:$D$200)</f>
        <v/>
      </c>
      <c r="N11" s="4" t="inlineStr">
        <is>
          <t>Traitement varroa planifié.</t>
        </is>
      </c>
    </row>
    <row r="12">
      <c r="A12" s="3" t="inlineStr">
        <is>
          <t>R010</t>
        </is>
      </c>
      <c r="B12" s="4" t="inlineStr">
        <is>
          <t>Rucher de Thabor</t>
        </is>
      </c>
      <c r="C12" s="4" t="inlineStr">
        <is>
          <t>Rennes</t>
        </is>
      </c>
      <c r="D12" s="3" t="inlineStr">
        <is>
          <t>35000</t>
        </is>
      </c>
      <c r="E12" s="3" t="inlineStr">
        <is>
          <t>Dadant 12</t>
        </is>
      </c>
      <c r="F12" s="29" t="n">
        <v>46132</v>
      </c>
      <c r="G12" s="4" t="inlineStr">
        <is>
          <t>Essaim capturé</t>
        </is>
      </c>
      <c r="H12" s="3" t="n">
        <v>2025</v>
      </c>
      <c r="I12" s="4" t="inlineStr">
        <is>
          <t>Buckfast</t>
        </is>
      </c>
      <c r="J12" s="3" t="inlineStr">
        <is>
          <t>Active</t>
        </is>
      </c>
      <c r="K12" s="32">
        <f>IFERROR(_xlfn.MAXIFS(Visites!$B$3:$B$200,Visites!$A$3:$A$200,A12),"")</f>
        <v/>
      </c>
      <c r="L12" s="3" t="n">
        <v>8</v>
      </c>
      <c r="M12" s="33">
        <f>SUMIF(Récoltes!$A$3:$A$200,A12,Récoltes!$D$3:$D$200)</f>
        <v/>
      </c>
      <c r="N12" s="4" t="inlineStr">
        <is>
          <t>État général satisfaisant.</t>
        </is>
      </c>
    </row>
    <row r="13">
      <c r="A13" s="10" t="n"/>
      <c r="B13" s="10" t="inlineStr">
        <is>
          <t>TOTAL EXPLOITATION</t>
        </is>
      </c>
      <c r="C13" s="10" t="n"/>
      <c r="D13" s="10" t="n"/>
      <c r="E13" s="10" t="n"/>
      <c r="F13" s="10" t="n"/>
      <c r="G13" s="10" t="n"/>
      <c r="H13" s="10" t="n"/>
      <c r="I13" s="10" t="n"/>
      <c r="J13" s="10">
        <f>COUNTIF(J3:J12,"Active")&amp;" actives"</f>
        <v/>
      </c>
      <c r="K13" s="10" t="n"/>
      <c r="L13" s="10" t="n"/>
      <c r="M13" s="34">
        <f>SUM(M3:M12)</f>
        <v/>
      </c>
      <c r="N13" s="10" t="n"/>
    </row>
  </sheetData>
  <mergeCells count="1">
    <mergeCell ref="A1:N1"/>
  </mergeCells>
  <conditionalFormatting sqref="J3:J50">
    <cfRule type="expression" priority="1" dxfId="0" stopIfTrue="1">
      <formula>$J3="Active"</formula>
    </cfRule>
    <cfRule type="expression" priority="2" dxfId="1" stopIfTrue="1">
      <formula>$J3="À surveiller"</formula>
    </cfRule>
  </conditionalFormatting>
  <dataValidations count="2">
    <dataValidation sqref="E3:E50" showErrorMessage="1" showInputMessage="1" allowBlank="1" type="list">
      <formula1>"Dadant 10,Dadant 12,Langstroth"</formula1>
    </dataValidation>
    <dataValidation sqref="J3:J50" showErrorMessage="1" showInputMessage="1" allowBlank="1" type="list">
      <formula1>"Active,À surveiller,Hivernage,Perdue"</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T12"/>
  <sheetViews>
    <sheetView workbookViewId="0">
      <pane xSplit="2" ySplit="2" topLeftCell="C3" activePane="bottomRight" state="frozen"/>
      <selection pane="topRight" activeCell="A1" sqref="A1"/>
      <selection pane="bottomLeft" activeCell="A1" sqref="A1"/>
      <selection pane="bottomRight" activeCell="A1" sqref="A1"/>
    </sheetView>
  </sheetViews>
  <sheetFormatPr baseColWidth="8" defaultRowHeight="15"/>
  <cols>
    <col width="10" customWidth="1" min="1" max="1"/>
    <col width="13" customWidth="1" min="2" max="2"/>
    <col width="18" customWidth="1" min="3" max="3"/>
    <col width="12" customWidth="1" min="4" max="4"/>
    <col width="22" customWidth="1" min="5" max="5"/>
    <col width="12" customWidth="1" min="6" max="6"/>
    <col width="14" customWidth="1" min="7" max="7"/>
    <col width="12" customWidth="1" min="8" max="8"/>
    <col width="12" customWidth="1" min="9" max="9"/>
    <col width="12" customWidth="1" min="10" max="10"/>
    <col width="12" customWidth="1" min="11" max="11"/>
    <col width="14" customWidth="1" min="12" max="12"/>
    <col width="12" customWidth="1" min="13" max="13"/>
    <col width="12" customWidth="1" min="14" max="14"/>
    <col width="24" customWidth="1" min="15" max="15"/>
    <col width="22" customWidth="1" min="16" max="16"/>
    <col width="15" customWidth="1" min="17" max="17"/>
    <col width="15" customWidth="1" min="18" max="18"/>
    <col width="13" customWidth="1" min="19" max="19"/>
    <col width="34" customWidth="1" min="20" max="20"/>
  </cols>
  <sheetData>
    <row r="1" ht="30" customHeight="1">
      <c r="A1" s="1" t="inlineStr">
        <is>
          <t>Journal des visites — interventions sanitaires et techniques</t>
        </is>
      </c>
    </row>
    <row r="2" ht="40" customHeight="1">
      <c r="A2" s="2" t="inlineStr">
        <is>
          <t>ID ruche</t>
        </is>
      </c>
      <c r="B2" s="2" t="inlineStr">
        <is>
          <t>Date de visite</t>
        </is>
      </c>
      <c r="C2" s="2" t="inlineStr">
        <is>
          <t>Rucher (auto)</t>
        </is>
      </c>
      <c r="D2" s="2" t="inlineStr">
        <is>
          <t>Apiculteur</t>
        </is>
      </c>
      <c r="E2" s="2" t="inlineStr">
        <is>
          <t>Motif de visite</t>
        </is>
      </c>
      <c r="F2" s="2" t="inlineStr">
        <is>
          <t>Météo</t>
        </is>
      </c>
      <c r="G2" s="2" t="inlineStr">
        <is>
          <t>Température (°C)</t>
        </is>
      </c>
      <c r="H2" s="2" t="inlineStr">
        <is>
          <t>Force de la colonie (1-5)</t>
        </is>
      </c>
      <c r="I2" s="2" t="inlineStr">
        <is>
          <t>Cadres occupés</t>
        </is>
      </c>
      <c r="J2" s="2" t="inlineStr">
        <is>
          <t>Couvain présent</t>
        </is>
      </c>
      <c r="K2" s="2" t="inlineStr">
        <is>
          <t>Reine présente</t>
        </is>
      </c>
      <c r="L2" s="2" t="inlineStr">
        <is>
          <t>Réserves estimées (kg)</t>
        </is>
      </c>
      <c r="M2" s="2" t="inlineStr">
        <is>
          <t>Cellules royales</t>
        </is>
      </c>
      <c r="N2" s="2" t="inlineStr">
        <is>
          <t>Varroas observés</t>
        </is>
      </c>
      <c r="O2" s="2" t="inlineStr">
        <is>
          <t>Traitement / action</t>
        </is>
      </c>
      <c r="P2" s="2" t="inlineStr">
        <is>
          <t>Prochaine action</t>
        </is>
      </c>
      <c r="Q2" s="2" t="inlineStr">
        <is>
          <t>Date prochaine action</t>
        </is>
      </c>
      <c r="R2" s="2" t="inlineStr">
        <is>
          <t>Échéance</t>
        </is>
      </c>
      <c r="S2" s="2" t="inlineStr">
        <is>
          <t>Alerte</t>
        </is>
      </c>
      <c r="T2" s="2" t="inlineStr">
        <is>
          <t>Commentaires</t>
        </is>
      </c>
    </row>
    <row r="3">
      <c r="A3" s="3" t="inlineStr">
        <is>
          <t>R001</t>
        </is>
      </c>
      <c r="B3" s="29" t="n">
        <v>46117</v>
      </c>
      <c r="C3" s="12">
        <f>IFERROR(VLOOKUP(A3,Ruches!$A$3:$N$50,2,FALSE),"Ruche inconnue")</f>
        <v/>
      </c>
      <c r="D3" s="4" t="inlineStr">
        <is>
          <t>Visite de printemps</t>
        </is>
      </c>
      <c r="E3" s="4" t="inlineStr">
        <is>
          <t>Ensoleillé</t>
        </is>
      </c>
      <c r="F3" s="3" t="n">
        <v>18.5</v>
      </c>
      <c r="G3" s="35" t="n">
        <v>5</v>
      </c>
      <c r="H3" s="3" t="n">
        <v>9</v>
      </c>
      <c r="I3" s="3" t="inlineStr">
        <is>
          <t>Oui</t>
        </is>
      </c>
      <c r="J3" s="3" t="inlineStr">
        <is>
          <t>Oui</t>
        </is>
      </c>
      <c r="K3" s="3" t="n">
        <v>12</v>
      </c>
      <c r="L3" s="36" t="inlineStr">
        <is>
          <t>Non</t>
        </is>
      </c>
      <c r="M3" s="3" t="inlineStr">
        <is>
          <t>Non</t>
        </is>
      </c>
      <c r="N3" s="3" t="inlineStr">
        <is>
          <t>Aucun</t>
        </is>
      </c>
      <c r="O3" s="4" t="inlineStr">
        <is>
          <t>Poser une hausse</t>
        </is>
      </c>
      <c r="P3" s="37" t="n">
        <v>46138</v>
      </c>
      <c r="Q3" s="29" t="inlineStr">
        <is>
          <t>Colonie forte, développement rapide.</t>
        </is>
      </c>
      <c r="R3" s="16">
        <f>IF(Q3&lt;TODAY(),"Action en retard","Dans les délais")</f>
        <v/>
      </c>
      <c r="S3" s="17">
        <f>IF(OR(K3="Non",J3="Non",N3="Oui",L3&lt;5),"À surveiller","OK")</f>
        <v/>
      </c>
    </row>
    <row r="4">
      <c r="A4" s="3" t="inlineStr">
        <is>
          <t>R002</t>
        </is>
      </c>
      <c r="B4" s="29" t="n">
        <v>46124</v>
      </c>
      <c r="C4" s="18">
        <f>IFERROR(VLOOKUP(A4,Ruches!$A$3:$N$50,2,FALSE),"Ruche inconnue")</f>
        <v/>
      </c>
      <c r="D4" s="4" t="inlineStr">
        <is>
          <t>Contrôle des réserves</t>
        </is>
      </c>
      <c r="E4" s="4" t="inlineStr">
        <is>
          <t>Nuageux</t>
        </is>
      </c>
      <c r="F4" s="3" t="n">
        <v>14</v>
      </c>
      <c r="G4" s="35" t="n">
        <v>2</v>
      </c>
      <c r="H4" s="3" t="n">
        <v>6</v>
      </c>
      <c r="I4" s="3" t="inlineStr">
        <is>
          <t>Oui</t>
        </is>
      </c>
      <c r="J4" s="3" t="inlineStr">
        <is>
          <t>Oui</t>
        </is>
      </c>
      <c r="K4" s="3" t="n">
        <v>3.5</v>
      </c>
      <c r="L4" s="36" t="inlineStr">
        <is>
          <t>Non</t>
        </is>
      </c>
      <c r="M4" s="3" t="inlineStr">
        <is>
          <t>Non</t>
        </is>
      </c>
      <c r="N4" s="3" t="inlineStr">
        <is>
          <t>Nourrissement léger</t>
        </is>
      </c>
      <c r="O4" s="4" t="inlineStr">
        <is>
          <t>Revérifier les réserves</t>
        </is>
      </c>
      <c r="P4" s="37" t="n">
        <v>46142</v>
      </c>
      <c r="Q4" s="29" t="inlineStr">
        <is>
          <t>Réserves faibles, surveiller le poids.</t>
        </is>
      </c>
      <c r="R4" s="16">
        <f>IF(Q4&lt;TODAY(),"Action en retard","Dans les délais")</f>
        <v/>
      </c>
      <c r="S4" s="17">
        <f>IF(OR(K4="Non",J4="Non",N4="Oui",L4&lt;5),"À surveiller","OK")</f>
        <v/>
      </c>
    </row>
    <row r="5">
      <c r="A5" s="3" t="inlineStr">
        <is>
          <t>R003</t>
        </is>
      </c>
      <c r="B5" s="29" t="n">
        <v>46131</v>
      </c>
      <c r="C5" s="12">
        <f>IFERROR(VLOOKUP(A5,Ruches!$A$3:$N$50,2,FALSE),"Ruche inconnue")</f>
        <v/>
      </c>
      <c r="D5" s="4" t="inlineStr">
        <is>
          <t>Pose de hausse</t>
        </is>
      </c>
      <c r="E5" s="4" t="inlineStr">
        <is>
          <t>Ensoleillé</t>
        </is>
      </c>
      <c r="F5" s="3" t="n">
        <v>22</v>
      </c>
      <c r="G5" s="35" t="n">
        <v>4</v>
      </c>
      <c r="H5" s="3" t="n">
        <v>10</v>
      </c>
      <c r="I5" s="3" t="inlineStr">
        <is>
          <t>Oui</t>
        </is>
      </c>
      <c r="J5" s="3" t="inlineStr">
        <is>
          <t>Oui</t>
        </is>
      </c>
      <c r="K5" s="3" t="n">
        <v>10</v>
      </c>
      <c r="L5" s="36" t="inlineStr">
        <is>
          <t>Non</t>
        </is>
      </c>
      <c r="M5" s="3" t="inlineStr">
        <is>
          <t>Non</t>
        </is>
      </c>
      <c r="N5" s="3" t="inlineStr">
        <is>
          <t>Pose d'une hausse à cadres</t>
        </is>
      </c>
      <c r="O5" s="4" t="inlineStr">
        <is>
          <t>Contrôle de la hausse</t>
        </is>
      </c>
      <c r="P5" s="37" t="n">
        <v>46152</v>
      </c>
      <c r="Q5" s="29" t="inlineStr">
        <is>
          <t>Météo favorable, hausse bien acceptée.</t>
        </is>
      </c>
      <c r="R5" s="16">
        <f>IF(Q5&lt;TODAY(),"Action en retard","Dans les délais")</f>
        <v/>
      </c>
      <c r="S5" s="17">
        <f>IF(OR(K5="Non",J5="Non",N5="Oui",L5&lt;5),"À surveiller","OK")</f>
        <v/>
      </c>
    </row>
    <row r="6">
      <c r="A6" s="3" t="inlineStr">
        <is>
          <t>R004</t>
        </is>
      </c>
      <c r="B6" s="29" t="n">
        <v>46145</v>
      </c>
      <c r="C6" s="18">
        <f>IFERROR(VLOOKUP(A6,Ruches!$A$3:$N$50,2,FALSE),"Ruche inconnue")</f>
        <v/>
      </c>
      <c r="D6" s="4" t="inlineStr">
        <is>
          <t>Recherche d'essaimage</t>
        </is>
      </c>
      <c r="E6" s="4" t="inlineStr">
        <is>
          <t>Vent</t>
        </is>
      </c>
      <c r="F6" s="3" t="n">
        <v>17.5</v>
      </c>
      <c r="G6" s="35" t="n">
        <v>4</v>
      </c>
      <c r="H6" s="3" t="n">
        <v>8</v>
      </c>
      <c r="I6" s="3" t="inlineStr">
        <is>
          <t>Oui</t>
        </is>
      </c>
      <c r="J6" s="3" t="inlineStr">
        <is>
          <t>Oui</t>
        </is>
      </c>
      <c r="K6" s="3" t="n">
        <v>8</v>
      </c>
      <c r="L6" s="36" t="inlineStr">
        <is>
          <t>Oui</t>
        </is>
      </c>
      <c r="M6" s="3" t="inlineStr">
        <is>
          <t>Non</t>
        </is>
      </c>
      <c r="N6" s="3" t="inlineStr">
        <is>
          <t>Suppression des cellules royales</t>
        </is>
      </c>
      <c r="O6" s="4" t="inlineStr">
        <is>
          <t>Nouvelle inspection</t>
        </is>
      </c>
      <c r="P6" s="37" t="n">
        <v>46159</v>
      </c>
      <c r="Q6" s="29" t="inlineStr">
        <is>
          <t>Cellules royales présentes, risque d'essaim.</t>
        </is>
      </c>
      <c r="R6" s="16">
        <f>IF(Q6&lt;TODAY(),"Action en retard","Dans les délais")</f>
        <v/>
      </c>
      <c r="S6" s="17">
        <f>IF(OR(K6="Non",J6="Non",N6="Oui",L6&lt;5),"À surveiller","OK")</f>
        <v/>
      </c>
    </row>
    <row r="7">
      <c r="A7" s="3" t="inlineStr">
        <is>
          <t>R005</t>
        </is>
      </c>
      <c r="B7" s="29" t="n">
        <v>46158</v>
      </c>
      <c r="C7" s="12">
        <f>IFERROR(VLOOKUP(A7,Ruches!$A$3:$N$50,2,FALSE),"Ruche inconnue")</f>
        <v/>
      </c>
      <c r="D7" s="4" t="inlineStr">
        <is>
          <t>Contrôle sanitaire</t>
        </is>
      </c>
      <c r="E7" s="4" t="inlineStr">
        <is>
          <t>Pluie</t>
        </is>
      </c>
      <c r="F7" s="3" t="n">
        <v>15</v>
      </c>
      <c r="G7" s="35" t="n">
        <v>3</v>
      </c>
      <c r="H7" s="3" t="n">
        <v>9</v>
      </c>
      <c r="I7" s="3" t="inlineStr">
        <is>
          <t>Oui</t>
        </is>
      </c>
      <c r="J7" s="3" t="inlineStr">
        <is>
          <t>Oui</t>
        </is>
      </c>
      <c r="K7" s="3" t="n">
        <v>7.5</v>
      </c>
      <c r="L7" s="36" t="inlineStr">
        <is>
          <t>Non</t>
        </is>
      </c>
      <c r="M7" s="3" t="inlineStr">
        <is>
          <t>Oui</t>
        </is>
      </c>
      <c r="N7" s="3" t="inlineStr">
        <is>
          <t>Comptage varroas sur lange</t>
        </is>
      </c>
      <c r="O7" s="4" t="inlineStr">
        <is>
          <t>Traitement à planifier</t>
        </is>
      </c>
      <c r="P7" s="37" t="n">
        <v>46172</v>
      </c>
      <c r="Q7" s="29" t="inlineStr">
        <is>
          <t>Varroas observés, seuil d'intervention atteint.</t>
        </is>
      </c>
      <c r="R7" s="16">
        <f>IF(Q7&lt;TODAY(),"Action en retard","Dans les délais")</f>
        <v/>
      </c>
      <c r="S7" s="17">
        <f>IF(OR(K7="Non",J7="Non",N7="Oui",L7&lt;5),"À surveiller","OK")</f>
        <v/>
      </c>
    </row>
    <row r="8">
      <c r="A8" s="3" t="inlineStr">
        <is>
          <t>R006</t>
        </is>
      </c>
      <c r="B8" s="29" t="n">
        <v>46166</v>
      </c>
      <c r="C8" s="18">
        <f>IFERROR(VLOOKUP(A8,Ruches!$A$3:$N$50,2,FALSE),"Ruche inconnue")</f>
        <v/>
      </c>
      <c r="D8" s="4" t="inlineStr">
        <is>
          <t>Nourrissement</t>
        </is>
      </c>
      <c r="E8" s="4" t="inlineStr">
        <is>
          <t>Nuageux</t>
        </is>
      </c>
      <c r="F8" s="3" t="n">
        <v>16</v>
      </c>
      <c r="G8" s="35" t="n">
        <v>3</v>
      </c>
      <c r="H8" s="3" t="n">
        <v>5</v>
      </c>
      <c r="I8" s="3" t="inlineStr">
        <is>
          <t>Non</t>
        </is>
      </c>
      <c r="J8" s="3" t="inlineStr">
        <is>
          <t>Oui</t>
        </is>
      </c>
      <c r="K8" s="3" t="n">
        <v>4</v>
      </c>
      <c r="L8" s="36" t="inlineStr">
        <is>
          <t>Non</t>
        </is>
      </c>
      <c r="M8" s="3" t="inlineStr">
        <is>
          <t>Non</t>
        </is>
      </c>
      <c r="N8" s="3" t="inlineStr">
        <is>
          <t>Sirop 50/50 — 2 litres</t>
        </is>
      </c>
      <c r="O8" s="4" t="inlineStr">
        <is>
          <t>Contrôle du couvain</t>
        </is>
      </c>
      <c r="P8" s="37" t="n">
        <v>46180</v>
      </c>
      <c r="Q8" s="29" t="inlineStr">
        <is>
          <t>Colonie moyenne, couvain irrégulier.</t>
        </is>
      </c>
      <c r="R8" s="16">
        <f>IF(Q8&lt;TODAY(),"Action en retard","Dans les délais")</f>
        <v/>
      </c>
      <c r="S8" s="17">
        <f>IF(OR(K8="Non",J8="Non",N8="Oui",L8&lt;5),"À surveiller","OK")</f>
        <v/>
      </c>
    </row>
    <row r="9">
      <c r="A9" s="3" t="inlineStr">
        <is>
          <t>R007</t>
        </is>
      </c>
      <c r="B9" s="29" t="n">
        <v>46180</v>
      </c>
      <c r="C9" s="12">
        <f>IFERROR(VLOOKUP(A9,Ruches!$A$3:$N$50,2,FALSE),"Ruche inconnue")</f>
        <v/>
      </c>
      <c r="D9" s="4" t="inlineStr">
        <is>
          <t>Préparation récolte</t>
        </is>
      </c>
      <c r="E9" s="4" t="inlineStr">
        <is>
          <t>Ensoleillé</t>
        </is>
      </c>
      <c r="F9" s="3" t="n">
        <v>24</v>
      </c>
      <c r="G9" s="35" t="n">
        <v>5</v>
      </c>
      <c r="H9" s="3" t="n">
        <v>10</v>
      </c>
      <c r="I9" s="3" t="inlineStr">
        <is>
          <t>Oui</t>
        </is>
      </c>
      <c r="J9" s="3" t="inlineStr">
        <is>
          <t>Oui</t>
        </is>
      </c>
      <c r="K9" s="3" t="n">
        <v>14</v>
      </c>
      <c r="L9" s="36" t="inlineStr">
        <is>
          <t>Non</t>
        </is>
      </c>
      <c r="M9" s="3" t="inlineStr">
        <is>
          <t>Non</t>
        </is>
      </c>
      <c r="N9" s="3" t="inlineStr">
        <is>
          <t>Hausse à miel ajoutée</t>
        </is>
      </c>
      <c r="O9" s="4" t="inlineStr">
        <is>
          <t>Récolte de la hausse</t>
        </is>
      </c>
      <c r="P9" s="37" t="n">
        <v>46201</v>
      </c>
      <c r="Q9" s="29" t="inlineStr">
        <is>
          <t>Colonie forte, hausses presque pleines.</t>
        </is>
      </c>
      <c r="R9" s="16">
        <f>IF(Q9&lt;TODAY(),"Action en retard","Dans les délais")</f>
        <v/>
      </c>
      <c r="S9" s="17">
        <f>IF(OR(K9="Non",J9="Non",N9="Oui",L9&lt;5),"À surveiller","OK")</f>
        <v/>
      </c>
    </row>
    <row r="10">
      <c r="A10" s="3" t="inlineStr">
        <is>
          <t>R008</t>
        </is>
      </c>
      <c r="B10" s="29" t="n">
        <v>46193</v>
      </c>
      <c r="C10" s="18">
        <f>IFERROR(VLOOKUP(A10,Ruches!$A$3:$N$50,2,FALSE),"Ruche inconnue")</f>
        <v/>
      </c>
      <c r="D10" s="4" t="inlineStr">
        <is>
          <t>Contrôle de reine</t>
        </is>
      </c>
      <c r="E10" s="4" t="inlineStr">
        <is>
          <t>Ensoleillé</t>
        </is>
      </c>
      <c r="F10" s="3" t="n">
        <v>21.5</v>
      </c>
      <c r="G10" s="35" t="n">
        <v>4</v>
      </c>
      <c r="H10" s="3" t="n">
        <v>7</v>
      </c>
      <c r="I10" s="3" t="inlineStr">
        <is>
          <t>Oui</t>
        </is>
      </c>
      <c r="J10" s="3" t="inlineStr">
        <is>
          <t>Oui</t>
        </is>
      </c>
      <c r="K10" s="3" t="n">
        <v>9</v>
      </c>
      <c r="L10" s="36" t="inlineStr">
        <is>
          <t>Non</t>
        </is>
      </c>
      <c r="M10" s="3" t="inlineStr">
        <is>
          <t>Non</t>
        </is>
      </c>
      <c r="N10" s="3" t="inlineStr">
        <is>
          <t>Marquage de la reine</t>
        </is>
      </c>
      <c r="O10" s="4" t="inlineStr">
        <is>
          <t>Visite de routine</t>
        </is>
      </c>
      <c r="P10" s="37" t="n">
        <v>46214</v>
      </c>
      <c r="Q10" s="29" t="inlineStr">
        <is>
          <t>Reine présente et bien marquée.</t>
        </is>
      </c>
      <c r="R10" s="16">
        <f>IF(Q10&lt;TODAY(),"Action en retard","Dans les délais")</f>
        <v/>
      </c>
      <c r="S10" s="17">
        <f>IF(OR(K10="Non",J10="Non",N10="Oui",L10&lt;5),"À surveiller","OK")</f>
        <v/>
      </c>
    </row>
    <row r="11">
      <c r="A11" s="3" t="inlineStr">
        <is>
          <t>R009</t>
        </is>
      </c>
      <c r="B11" s="29" t="n">
        <v>46207</v>
      </c>
      <c r="C11" s="12">
        <f>IFERROR(VLOOKUP(A11,Ruches!$A$3:$N$50,2,FALSE),"Ruche inconnue")</f>
        <v/>
      </c>
      <c r="D11" s="4" t="inlineStr">
        <is>
          <t>Traitement varroa</t>
        </is>
      </c>
      <c r="E11" s="4" t="inlineStr">
        <is>
          <t>Orageux</t>
        </is>
      </c>
      <c r="F11" s="3" t="n">
        <v>25</v>
      </c>
      <c r="G11" s="35" t="n">
        <v>3</v>
      </c>
      <c r="H11" s="3" t="n">
        <v>6</v>
      </c>
      <c r="I11" s="3" t="inlineStr">
        <is>
          <t>Oui</t>
        </is>
      </c>
      <c r="J11" s="3" t="inlineStr">
        <is>
          <t>Oui</t>
        </is>
      </c>
      <c r="K11" s="3" t="n">
        <v>6</v>
      </c>
      <c r="L11" s="36" t="inlineStr">
        <is>
          <t>Non</t>
        </is>
      </c>
      <c r="M11" s="3" t="inlineStr">
        <is>
          <t>Oui</t>
        </is>
      </c>
      <c r="N11" s="3" t="inlineStr">
        <is>
          <t>Traitement acide oxalique</t>
        </is>
      </c>
      <c r="O11" s="4" t="inlineStr">
        <is>
          <t>Contrôle d'efficacité</t>
        </is>
      </c>
      <c r="P11" s="37" t="n">
        <v>46221</v>
      </c>
      <c r="Q11" s="29" t="inlineStr">
        <is>
          <t>Action planifiée, protocole respecté.</t>
        </is>
      </c>
      <c r="R11" s="16">
        <f>IF(Q11&lt;TODAY(),"Action en retard","Dans les délais")</f>
        <v/>
      </c>
      <c r="S11" s="17">
        <f>IF(OR(K11="Non",J11="Non",N11="Oui",L11&lt;5),"À surveiller","OK")</f>
        <v/>
      </c>
    </row>
    <row r="12">
      <c r="A12" s="3" t="inlineStr">
        <is>
          <t>R010</t>
        </is>
      </c>
      <c r="B12" s="29" t="n">
        <v>46228</v>
      </c>
      <c r="C12" s="18">
        <f>IFERROR(VLOOKUP(A12,Ruches!$A$3:$N$50,2,FALSE),"Ruche inconnue")</f>
        <v/>
      </c>
      <c r="D12" s="4" t="inlineStr">
        <is>
          <t>Visite de suivi</t>
        </is>
      </c>
      <c r="E12" s="4" t="inlineStr">
        <is>
          <t>Ensoleillé</t>
        </is>
      </c>
      <c r="F12" s="3" t="n">
        <v>23</v>
      </c>
      <c r="G12" s="35" t="n">
        <v>4</v>
      </c>
      <c r="H12" s="3" t="n">
        <v>8</v>
      </c>
      <c r="I12" s="3" t="inlineStr">
        <is>
          <t>Oui</t>
        </is>
      </c>
      <c r="J12" s="3" t="inlineStr">
        <is>
          <t>Oui</t>
        </is>
      </c>
      <c r="K12" s="3" t="n">
        <v>11</v>
      </c>
      <c r="L12" s="36" t="inlineStr">
        <is>
          <t>Non</t>
        </is>
      </c>
      <c r="M12" s="3" t="inlineStr">
        <is>
          <t>Non</t>
        </is>
      </c>
      <c r="N12" s="3" t="inlineStr">
        <is>
          <t>Aucun</t>
        </is>
      </c>
      <c r="O12" s="4" t="inlineStr">
        <is>
          <t>Préparer la récolte</t>
        </is>
      </c>
      <c r="P12" s="37" t="n">
        <v>46242</v>
      </c>
      <c r="Q12" s="29" t="inlineStr">
        <is>
          <t>État satisfaisant, bonne dynamique.</t>
        </is>
      </c>
      <c r="R12" s="16">
        <f>IF(Q12&lt;TODAY(),"Action en retard","Dans les délais")</f>
        <v/>
      </c>
      <c r="S12" s="17">
        <f>IF(OR(K12="Non",J12="Non",N12="Oui",L12&lt;5),"À surveiller","OK")</f>
        <v/>
      </c>
    </row>
  </sheetData>
  <mergeCells count="1">
    <mergeCell ref="A1:T1"/>
  </mergeCells>
  <conditionalFormatting sqref="S3:S100">
    <cfRule type="expression" priority="1" dxfId="1" stopIfTrue="1">
      <formula>$S3="À surveiller"</formula>
    </cfRule>
    <cfRule type="expression" priority="2" dxfId="0" stopIfTrue="1">
      <formula>$S3="OK"</formula>
    </cfRule>
  </conditionalFormatting>
  <conditionalFormatting sqref="R3:R100">
    <cfRule type="expression" priority="3" dxfId="1" stopIfTrue="1">
      <formula>$R3="Action en retard"</formula>
    </cfRule>
  </conditionalFormatting>
  <dataValidations count="5">
    <dataValidation sqref="F3:F100" showErrorMessage="1" showInputMessage="1" allowBlank="1" type="list">
      <formula1>"Ensoleillé,Nuageux,Pluie,Vent,Orageux"</formula1>
    </dataValidation>
    <dataValidation sqref="E3:E100" showErrorMessage="1" showInputMessage="1" allowBlank="1" type="list">
      <formula1>"Visite de printemps,Contrôle des réserves,Pose de hausse,Recherche d'essaimage,Contrôle sanitaire,Nourrissement,Préparation récolte,Contrôle de reine,Traitement varroa,Visite de suivi,Récolte,Hivernage"</formula1>
    </dataValidation>
    <dataValidation sqref="J3:K100 M3:N100" showErrorMessage="1" showInputMessage="1" allowBlank="1" type="list">
      <formula1>"Oui,Non"</formula1>
    </dataValidation>
    <dataValidation sqref="H3:H100" showErrorMessage="1" showInputMessage="1" allowBlank="1" type="list">
      <formula1>"1,2,3,4,5"</formula1>
    </dataValidation>
    <dataValidation sqref="O3:O100" showErrorMessage="1" showInputMessage="1" allowBlank="1" type="list">
      <formula1>"Aucun,Traitement acide oxalique,Traitement acide formique,Comptage varroas sur lange,Nourrissement léger,Sirop 50/50 — 2 litres,Pose d'une hausse à cadres,Hausse à miel ajoutée,Suppression des cellules royales,Marquage de la reine"</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K13"/>
  <sheetViews>
    <sheetView workbookViewId="0">
      <pane ySplit="2" topLeftCell="A3" activePane="bottomLeft" state="frozen"/>
      <selection pane="bottomLeft" activeCell="A1" sqref="A1"/>
    </sheetView>
  </sheetViews>
  <sheetFormatPr baseColWidth="8" defaultRowHeight="15"/>
  <cols>
    <col width="10" customWidth="1" min="1" max="1"/>
    <col width="14" customWidth="1" min="2" max="2"/>
    <col width="20" customWidth="1" min="3" max="3"/>
    <col width="16" customWidth="1" min="4" max="4"/>
    <col width="18" customWidth="1" min="5" max="5"/>
    <col width="14" customWidth="1" min="6" max="6"/>
    <col width="12" customWidth="1" min="7" max="7"/>
    <col width="16" customWidth="1" min="8" max="8"/>
    <col width="16" customWidth="1" min="9" max="9"/>
    <col width="20" customWidth="1" min="10" max="10"/>
    <col width="34" customWidth="1" min="11" max="11"/>
  </cols>
  <sheetData>
    <row r="1" ht="30" customHeight="1">
      <c r="A1" s="1" t="inlineStr">
        <is>
          <t>Suivi des récoltes — production et traçabilité des lots</t>
        </is>
      </c>
    </row>
    <row r="2" ht="32" customHeight="1">
      <c r="A2" s="2" t="inlineStr">
        <is>
          <t>ID ruche</t>
        </is>
      </c>
      <c r="B2" s="2" t="inlineStr">
        <is>
          <t>Date de récolte</t>
        </is>
      </c>
      <c r="C2" s="2" t="inlineStr">
        <is>
          <t>Rucher (auto)</t>
        </is>
      </c>
      <c r="D2" s="2" t="inlineStr">
        <is>
          <t>Quantité récoltée (kg)</t>
        </is>
      </c>
      <c r="E2" s="2" t="inlineStr">
        <is>
          <t>Type de miel</t>
        </is>
      </c>
      <c r="F2" s="2" t="inlineStr">
        <is>
          <t>Nombre de hausses</t>
        </is>
      </c>
      <c r="G2" s="2" t="inlineStr">
        <is>
          <t>Humidité (%)</t>
        </is>
      </c>
      <c r="H2" s="2" t="inlineStr">
        <is>
          <t>Lot / traçabilité</t>
        </is>
      </c>
      <c r="I2" s="2" t="inlineStr">
        <is>
          <t>Conformité humidité</t>
        </is>
      </c>
      <c r="J2" s="2" t="inlineStr">
        <is>
          <t>Destination</t>
        </is>
      </c>
      <c r="K2" s="2" t="inlineStr">
        <is>
          <t>Observations</t>
        </is>
      </c>
    </row>
    <row r="3">
      <c r="A3" s="3" t="inlineStr">
        <is>
          <t>R001</t>
        </is>
      </c>
      <c r="B3" s="29" t="n">
        <v>46187</v>
      </c>
      <c r="C3" s="12">
        <f>IFERROR(VLOOKUP(A3,Ruches!$A$3:$N$50,2,FALSE),"")</f>
        <v/>
      </c>
      <c r="D3" s="36" t="n">
        <v>18.5</v>
      </c>
      <c r="E3" s="4" t="inlineStr">
        <is>
          <t>Toutes fleurs</t>
        </is>
      </c>
      <c r="F3" s="3" t="n">
        <v>2</v>
      </c>
      <c r="G3" s="19" t="n">
        <v>17.2</v>
      </c>
      <c r="H3" s="4" t="inlineStr">
        <is>
          <t>LOT-2026-01</t>
        </is>
      </c>
      <c r="I3" s="20">
        <f>IF(G3&lt;=18,"Conforme","À contrôler")</f>
        <v/>
      </c>
      <c r="J3" t="inlineStr">
        <is>
          <t>Vente directe</t>
        </is>
      </c>
      <c r="K3" t="inlineStr">
        <is>
          <t>Extraction à froid, miel très parfumé.</t>
        </is>
      </c>
    </row>
    <row r="4">
      <c r="A4" s="3" t="inlineStr">
        <is>
          <t>R003</t>
        </is>
      </c>
      <c r="B4" s="29" t="n">
        <v>46193</v>
      </c>
      <c r="C4" s="18">
        <f>IFERROR(VLOOKUP(A4,Ruches!$A$3:$N$50,2,FALSE),"")</f>
        <v/>
      </c>
      <c r="D4" s="36" t="n">
        <v>22</v>
      </c>
      <c r="E4" s="4" t="inlineStr">
        <is>
          <t>Lavande</t>
        </is>
      </c>
      <c r="F4" s="3" t="n">
        <v>2</v>
      </c>
      <c r="G4" s="19" t="n">
        <v>16.8</v>
      </c>
      <c r="H4" s="4" t="inlineStr">
        <is>
          <t>LOT-2026-02</t>
        </is>
      </c>
      <c r="I4" s="17">
        <f>IF(G4&lt;=18,"Conforme","À contrôler")</f>
        <v/>
      </c>
      <c r="J4" t="inlineStr">
        <is>
          <t>Marché de Marseille</t>
        </is>
      </c>
      <c r="K4" t="inlineStr">
        <is>
          <t>Belle miellée de lavande.</t>
        </is>
      </c>
    </row>
    <row r="5">
      <c r="A5" s="3" t="inlineStr">
        <is>
          <t>R007</t>
        </is>
      </c>
      <c r="B5" s="29" t="n">
        <v>46201</v>
      </c>
      <c r="C5" s="12">
        <f>IFERROR(VLOOKUP(A5,Ruches!$A$3:$N$50,2,FALSE),"")</f>
        <v/>
      </c>
      <c r="D5" s="36" t="n">
        <v>25.5</v>
      </c>
      <c r="E5" s="4" t="inlineStr">
        <is>
          <t>Acacia</t>
        </is>
      </c>
      <c r="F5" s="3" t="n">
        <v>3</v>
      </c>
      <c r="G5" s="19" t="n">
        <v>17.5</v>
      </c>
      <c r="H5" s="4" t="inlineStr">
        <is>
          <t>LOT-2026-03</t>
        </is>
      </c>
      <c r="I5" s="20">
        <f>IF(G5&lt;=18,"Conforme","À contrôler")</f>
        <v/>
      </c>
      <c r="J5" t="inlineStr">
        <is>
          <t>Magasin de producteurs</t>
        </is>
      </c>
      <c r="K5" t="inlineStr">
        <is>
          <t>Miel clair et liquide.</t>
        </is>
      </c>
    </row>
    <row r="6">
      <c r="A6" s="3" t="inlineStr">
        <is>
          <t>R004</t>
        </is>
      </c>
      <c r="B6" s="29" t="n">
        <v>46205</v>
      </c>
      <c r="C6" s="18">
        <f>IFERROR(VLOOKUP(A6,Ruches!$A$3:$N$50,2,FALSE),"")</f>
        <v/>
      </c>
      <c r="D6" s="36" t="n">
        <v>14</v>
      </c>
      <c r="E6" s="4" t="inlineStr">
        <is>
          <t>Toutes fleurs</t>
        </is>
      </c>
      <c r="F6" s="3" t="n">
        <v>1</v>
      </c>
      <c r="G6" s="19" t="n">
        <v>18.4</v>
      </c>
      <c r="H6" s="4" t="inlineStr">
        <is>
          <t>LOT-2026-04</t>
        </is>
      </c>
      <c r="I6" s="17">
        <f>IF(G6&lt;=18,"Conforme","À contrôler")</f>
        <v/>
      </c>
      <c r="J6" t="inlineStr">
        <is>
          <t>Vente directe</t>
        </is>
      </c>
      <c r="K6" t="inlineStr">
        <is>
          <t>Humidité limite, pots à contrôler.</t>
        </is>
      </c>
    </row>
    <row r="7">
      <c r="A7" s="3" t="inlineStr">
        <is>
          <t>R001</t>
        </is>
      </c>
      <c r="B7" s="29" t="n">
        <v>46208</v>
      </c>
      <c r="C7" s="12">
        <f>IFERROR(VLOOKUP(A7,Ruches!$A$3:$N$50,2,FALSE),"")</f>
        <v/>
      </c>
      <c r="D7" s="36" t="n">
        <v>16</v>
      </c>
      <c r="E7" s="4" t="inlineStr">
        <is>
          <t>Tilleul</t>
        </is>
      </c>
      <c r="F7" s="3" t="n">
        <v>2</v>
      </c>
      <c r="G7" s="19" t="n">
        <v>17</v>
      </c>
      <c r="H7" s="4" t="inlineStr">
        <is>
          <t>LOT-2026-05</t>
        </is>
      </c>
      <c r="I7" s="20">
        <f>IF(G7&lt;=18,"Conforme","À contrôler")</f>
        <v/>
      </c>
      <c r="J7" t="inlineStr">
        <is>
          <t>Marché de Paris</t>
        </is>
      </c>
      <c r="K7" t="inlineStr">
        <is>
          <t>Deuxième récolte exceptionnelle.</t>
        </is>
      </c>
    </row>
    <row r="8">
      <c r="A8" s="3" t="inlineStr">
        <is>
          <t>R005</t>
        </is>
      </c>
      <c r="B8" s="29" t="n">
        <v>46213</v>
      </c>
      <c r="C8" s="18">
        <f>IFERROR(VLOOKUP(A8,Ruches!$A$3:$N$50,2,FALSE),"")</f>
        <v/>
      </c>
      <c r="D8" s="36" t="n">
        <v>19.5</v>
      </c>
      <c r="E8" s="4" t="inlineStr">
        <is>
          <t>Châtaignier</t>
        </is>
      </c>
      <c r="F8" s="3" t="n">
        <v>2</v>
      </c>
      <c r="G8" s="19" t="n">
        <v>17.9</v>
      </c>
      <c r="H8" s="4" t="inlineStr">
        <is>
          <t>LOT-2026-06</t>
        </is>
      </c>
      <c r="I8" s="17">
        <f>IF(G8&lt;=18,"Conforme","À contrôler")</f>
        <v/>
      </c>
      <c r="J8" t="inlineStr">
        <is>
          <t>Magasin de producteurs</t>
        </is>
      </c>
      <c r="K8" t="inlineStr">
        <is>
          <t>Miel ambré au goût puissant.</t>
        </is>
      </c>
    </row>
    <row r="9">
      <c r="A9" s="3" t="inlineStr">
        <is>
          <t>R009</t>
        </is>
      </c>
      <c r="B9" s="29" t="n">
        <v>46215</v>
      </c>
      <c r="C9" s="12">
        <f>IFERROR(VLOOKUP(A9,Ruches!$A$3:$N$50,2,FALSE),"")</f>
        <v/>
      </c>
      <c r="D9" s="36" t="n">
        <v>12.5</v>
      </c>
      <c r="E9" s="4" t="inlineStr">
        <is>
          <t>Lavande</t>
        </is>
      </c>
      <c r="F9" s="3" t="n">
        <v>1</v>
      </c>
      <c r="G9" s="19" t="n">
        <v>16.5</v>
      </c>
      <c r="H9" s="4" t="inlineStr">
        <is>
          <t>LOT-2026-07</t>
        </is>
      </c>
      <c r="I9" s="20">
        <f>IF(G9&lt;=18,"Conforme","À contrôler")</f>
        <v/>
      </c>
      <c r="J9" t="inlineStr">
        <is>
          <t>Vente directe</t>
        </is>
      </c>
      <c r="K9" t="inlineStr">
        <is>
          <t>Récolte modeste après traitement.</t>
        </is>
      </c>
    </row>
    <row r="10">
      <c r="A10" s="3" t="inlineStr">
        <is>
          <t>R008</t>
        </is>
      </c>
      <c r="B10" s="29" t="n">
        <v>46221</v>
      </c>
      <c r="C10" s="18">
        <f>IFERROR(VLOOKUP(A10,Ruches!$A$3:$N$50,2,FALSE),"")</f>
        <v/>
      </c>
      <c r="D10" s="36" t="n">
        <v>15</v>
      </c>
      <c r="E10" s="4" t="inlineStr">
        <is>
          <t>Toutes fleurs</t>
        </is>
      </c>
      <c r="F10" s="3" t="n">
        <v>1</v>
      </c>
      <c r="G10" s="19" t="n">
        <v>17.6</v>
      </c>
      <c r="H10" s="4" t="inlineStr">
        <is>
          <t>LOT-2026-08</t>
        </is>
      </c>
      <c r="I10" s="17">
        <f>IF(G10&lt;=18,"Conforme","À contrôler")</f>
        <v/>
      </c>
      <c r="J10" t="inlineStr">
        <is>
          <t>Marché de Strasbourg</t>
        </is>
      </c>
      <c r="K10" t="inlineStr">
        <is>
          <t>Bonne qualité générale.</t>
        </is>
      </c>
    </row>
    <row r="11">
      <c r="A11" s="3" t="inlineStr">
        <is>
          <t>R010</t>
        </is>
      </c>
      <c r="B11" s="29" t="n">
        <v>46225</v>
      </c>
      <c r="C11" s="12">
        <f>IFERROR(VLOOKUP(A11,Ruches!$A$3:$N$50,2,FALSE),"")</f>
        <v/>
      </c>
      <c r="D11" s="36" t="n">
        <v>17</v>
      </c>
      <c r="E11" s="4" t="inlineStr">
        <is>
          <t>Sarrasin</t>
        </is>
      </c>
      <c r="F11" s="3" t="n">
        <v>2</v>
      </c>
      <c r="G11" s="19" t="n">
        <v>18.1</v>
      </c>
      <c r="H11" s="4" t="inlineStr">
        <is>
          <t>LOT-2026-09</t>
        </is>
      </c>
      <c r="I11" s="20">
        <f>IF(G11&lt;=18,"Conforme","À contrôler")</f>
        <v/>
      </c>
      <c r="J11" t="inlineStr">
        <is>
          <t>Vente directe</t>
        </is>
      </c>
      <c r="K11" t="inlineStr">
        <is>
          <t>Humidité à surveiller.</t>
        </is>
      </c>
    </row>
    <row r="12">
      <c r="A12" s="3" t="inlineStr">
        <is>
          <t>R007</t>
        </is>
      </c>
      <c r="B12" s="29" t="n">
        <v>46229</v>
      </c>
      <c r="C12" s="18">
        <f>IFERROR(VLOOKUP(A12,Ruches!$A$3:$N$50,2,FALSE),"")</f>
        <v/>
      </c>
      <c r="D12" s="36" t="n">
        <v>21</v>
      </c>
      <c r="E12" s="4" t="inlineStr">
        <is>
          <t>Châtaignier</t>
        </is>
      </c>
      <c r="F12" s="3" t="n">
        <v>2</v>
      </c>
      <c r="G12" s="19" t="n">
        <v>16.9</v>
      </c>
      <c r="H12" s="4" t="inlineStr">
        <is>
          <t>LOT-2026-10</t>
        </is>
      </c>
      <c r="I12" s="17">
        <f>IF(G12&lt;=18,"Conforme","À contrôler")</f>
        <v/>
      </c>
      <c r="J12" t="inlineStr">
        <is>
          <t>Marché de Nantes</t>
        </is>
      </c>
      <c r="K12" t="inlineStr">
        <is>
          <t>Seconde hausse très lourde.</t>
        </is>
      </c>
    </row>
    <row r="13">
      <c r="A13" s="10" t="n"/>
      <c r="B13" s="10" t="inlineStr">
        <is>
          <t>TOTAUX</t>
        </is>
      </c>
      <c r="C13" s="10" t="n"/>
      <c r="D13" s="34">
        <f>SUM(D3:D12)</f>
        <v/>
      </c>
      <c r="E13" s="10" t="n"/>
      <c r="F13" s="10">
        <f>SUM(F3:F12)</f>
        <v/>
      </c>
      <c r="G13" s="21">
        <f>AVERAGE(G3:G12)</f>
        <v/>
      </c>
      <c r="H13" s="10" t="n"/>
      <c r="I13" s="10" t="n"/>
      <c r="J13" s="10" t="n"/>
      <c r="K13" s="10" t="n"/>
    </row>
  </sheetData>
  <mergeCells count="1">
    <mergeCell ref="A1:K1"/>
  </mergeCells>
  <conditionalFormatting sqref="I3:I100">
    <cfRule type="expression" priority="1" dxfId="1" stopIfTrue="1">
      <formula>$I3="À contrôler"</formula>
    </cfRule>
    <cfRule type="expression" priority="2" dxfId="0" stopIfTrue="1">
      <formula>$I3="Conforme"</formula>
    </cfRule>
  </conditionalFormatting>
  <dataValidations count="2">
    <dataValidation sqref="E3:E100" showErrorMessage="1" showInputMessage="1" allowBlank="1" type="list">
      <formula1>"Toutes fleurs,Acacia,Châtaignier,Lavande,Tilleul,Sarrasin,Tournesol,Montagne"</formula1>
    </dataValidation>
    <dataValidation sqref="J3:J100" showErrorMessage="1" showInputMessage="1" allowBlank="1" type="list">
      <formula1>"Vente directe,Marché,Magasin de producteurs,Consommation familiale,Transformation"</formula1>
    </dataValidation>
  </dataValidation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H27"/>
  <sheetViews>
    <sheetView showGridLines="0" workbookViewId="0">
      <selection activeCell="A1" sqref="A1"/>
    </sheetView>
  </sheetViews>
  <sheetFormatPr baseColWidth="8" defaultRowHeight="15"/>
  <cols>
    <col width="28" customWidth="1" min="1" max="1"/>
    <col width="18" customWidth="1" min="2" max="2"/>
    <col width="18" customWidth="1" min="4" max="4"/>
    <col width="18" customWidth="1" min="5" max="5"/>
    <col width="4" customWidth="1" min="7" max="7"/>
  </cols>
  <sheetData>
    <row r="1" ht="32" customHeight="1">
      <c r="A1" s="1" t="inlineStr">
        <is>
          <t>Tableau de bord apicole — synthèse de l'exploitation</t>
        </is>
      </c>
    </row>
    <row r="3" ht="22" customHeight="1">
      <c r="A3" s="22" t="inlineStr">
        <is>
          <t>Nombre total de ruches</t>
        </is>
      </c>
      <c r="B3" s="23">
        <f>COUNTA(Ruches!A3:A100)</f>
        <v/>
      </c>
      <c r="D3" s="24" t="inlineStr">
        <is>
          <t>Ruche</t>
        </is>
      </c>
      <c r="E3" s="24" t="inlineStr">
        <is>
          <t>Production (kg)</t>
        </is>
      </c>
    </row>
    <row r="4" ht="22" customHeight="1">
      <c r="A4" s="22" t="inlineStr">
        <is>
          <t>Ruches actives</t>
        </is>
      </c>
      <c r="B4" s="23">
        <f>COUNTIF(Ruches!J:J,"Active")</f>
        <v/>
      </c>
      <c r="D4" s="16" t="inlineStr">
        <is>
          <t>R001</t>
        </is>
      </c>
      <c r="E4" s="38">
        <f>SUMIF(Récoltes!$A$3:$A$100,D4,Récoltes!$D$3:$D$100)</f>
        <v/>
      </c>
    </row>
    <row r="5" ht="22" customHeight="1">
      <c r="A5" s="22" t="inlineStr">
        <is>
          <t>Ruches à surveiller</t>
        </is>
      </c>
      <c r="B5" s="23">
        <f>COUNTIF(Ruches!J:J,"À surveiller")</f>
        <v/>
      </c>
      <c r="D5" s="16" t="inlineStr">
        <is>
          <t>R002</t>
        </is>
      </c>
      <c r="E5" s="38">
        <f>SUMIF(Récoltes!$A$3:$A$100,D5,Récoltes!$D$3:$D$100)</f>
        <v/>
      </c>
    </row>
    <row r="6" ht="22" customHeight="1">
      <c r="A6" s="22" t="inlineStr">
        <is>
          <t>Visites enregistrées</t>
        </is>
      </c>
      <c r="B6" s="23">
        <f>COUNTA(Visites!B3:B100)</f>
        <v/>
      </c>
      <c r="D6" s="16" t="inlineStr">
        <is>
          <t>R003</t>
        </is>
      </c>
      <c r="E6" s="38">
        <f>SUMIF(Récoltes!$A$3:$A$100,D6,Récoltes!$D$3:$D$100)</f>
        <v/>
      </c>
    </row>
    <row r="7" ht="22" customHeight="1">
      <c r="A7" s="22" t="inlineStr">
        <is>
          <t>Alertes visites</t>
        </is>
      </c>
      <c r="B7" s="23">
        <f>COUNTIF(Visites!S:S,"À surveiller")</f>
        <v/>
      </c>
      <c r="D7" s="16" t="inlineStr">
        <is>
          <t>R004</t>
        </is>
      </c>
      <c r="E7" s="38">
        <f>SUMIF(Récoltes!$A$3:$A$100,D7,Récoltes!$D$3:$D$100)</f>
        <v/>
      </c>
    </row>
    <row r="8" ht="22" customHeight="1">
      <c r="A8" s="22" t="inlineStr">
        <is>
          <t>Production totale (kg)</t>
        </is>
      </c>
      <c r="B8" s="34">
        <f>SUM(Récoltes!D3:D100)</f>
        <v/>
      </c>
      <c r="D8" s="16" t="inlineStr">
        <is>
          <t>R005</t>
        </is>
      </c>
      <c r="E8" s="38">
        <f>SUMIF(Récoltes!$A$3:$A$100,D8,Récoltes!$D$3:$D$100)</f>
        <v/>
      </c>
    </row>
    <row r="9" ht="22" customHeight="1">
      <c r="A9" s="22" t="inlineStr">
        <is>
          <t>Rendement moyen par ruche</t>
        </is>
      </c>
      <c r="B9" s="34">
        <f>IFERROR(SUM(Récoltes!D3:D100)/COUNTA(Ruches!A3:A100),0)</f>
        <v/>
      </c>
      <c r="D9" s="16" t="inlineStr">
        <is>
          <t>R006</t>
        </is>
      </c>
      <c r="E9" s="38">
        <f>SUMIF(Récoltes!$A$3:$A$100,D9,Récoltes!$D$3:$D$100)</f>
        <v/>
      </c>
    </row>
    <row r="10" ht="22" customHeight="1">
      <c r="A10" s="22" t="inlineStr">
        <is>
          <t>Taux de ruches actives</t>
        </is>
      </c>
      <c r="B10" s="26">
        <f>IFERROR(COUNTIF(Ruches!J:J,"Active")/COUNTA(Ruches!A3:A100),0)</f>
        <v/>
      </c>
      <c r="D10" s="16" t="inlineStr">
        <is>
          <t>R007</t>
        </is>
      </c>
      <c r="E10" s="38">
        <f>SUMIF(Récoltes!$A$3:$A$100,D10,Récoltes!$D$3:$D$100)</f>
        <v/>
      </c>
    </row>
    <row r="11">
      <c r="D11" s="16" t="inlineStr">
        <is>
          <t>R008</t>
        </is>
      </c>
      <c r="E11" s="38">
        <f>SUMIF(Récoltes!$A$3:$A$100,D11,Récoltes!$D$3:$D$100)</f>
        <v/>
      </c>
    </row>
    <row r="12">
      <c r="D12" s="16" t="inlineStr">
        <is>
          <t>R009</t>
        </is>
      </c>
      <c r="E12" s="38">
        <f>SUMIF(Récoltes!$A$3:$A$100,D12,Récoltes!$D$3:$D$100)</f>
        <v/>
      </c>
    </row>
    <row r="13">
      <c r="D13" s="16" t="inlineStr">
        <is>
          <t>R010</t>
        </is>
      </c>
      <c r="E13" s="38">
        <f>SUMIF(Récoltes!$A$3:$A$100,D13,Récoltes!$D$3:$D$100)</f>
        <v/>
      </c>
    </row>
    <row r="16">
      <c r="D16" s="24" t="inlineStr">
        <is>
          <t>Statut</t>
        </is>
      </c>
      <c r="E16" s="24" t="inlineStr">
        <is>
          <t>Nombre de ruches</t>
        </is>
      </c>
    </row>
    <row r="17">
      <c r="D17" s="16" t="inlineStr">
        <is>
          <t>Active</t>
        </is>
      </c>
      <c r="E17" s="16">
        <f>COUNTIF(Ruches!$J$3:$J$100,D17)</f>
        <v/>
      </c>
    </row>
    <row r="18">
      <c r="D18" s="16" t="inlineStr">
        <is>
          <t>À surveiller</t>
        </is>
      </c>
      <c r="E18" s="16">
        <f>COUNTIF(Ruches!$J$3:$J$100,D18)</f>
        <v/>
      </c>
    </row>
    <row r="19">
      <c r="D19" s="16" t="inlineStr">
        <is>
          <t>Hivernage</t>
        </is>
      </c>
      <c r="E19" s="16">
        <f>COUNTIF(Ruches!$J$3:$J$100,D19)</f>
        <v/>
      </c>
    </row>
    <row r="20">
      <c r="D20" s="16" t="inlineStr">
        <is>
          <t>Perdue</t>
        </is>
      </c>
      <c r="E20" s="16">
        <f>COUNTIF(Ruches!$J$3:$J$100,D20)</f>
        <v/>
      </c>
    </row>
    <row r="23">
      <c r="D23" s="24" t="inlineStr">
        <is>
          <t>Mois</t>
        </is>
      </c>
      <c r="E23" s="24" t="inlineStr">
        <is>
          <t>Nombre de visites</t>
        </is>
      </c>
    </row>
    <row r="24">
      <c r="D24" s="16" t="inlineStr">
        <is>
          <t>Avril</t>
        </is>
      </c>
      <c r="E24" s="16">
        <f>COUNTIFS(Visites!$B$3:$B$100,"&gt;="&amp;DATE(2026,4,1),Visites!$B$3:$B$100,"&lt;"&amp;DATE(2026,5,1))</f>
        <v/>
      </c>
    </row>
    <row r="25">
      <c r="D25" s="16" t="inlineStr">
        <is>
          <t>Mai</t>
        </is>
      </c>
      <c r="E25" s="16">
        <f>COUNTIFS(Visites!$B$3:$B$100,"&gt;="&amp;DATE(2026,5,1),Visites!$B$3:$B$100,"&lt;"&amp;DATE(2026,6,1))</f>
        <v/>
      </c>
    </row>
    <row r="26">
      <c r="D26" s="16" t="inlineStr">
        <is>
          <t>Juin</t>
        </is>
      </c>
      <c r="E26" s="16">
        <f>COUNTIFS(Visites!$B$3:$B$100,"&gt;="&amp;DATE(2026,6,1),Visites!$B$3:$B$100,"&lt;"&amp;DATE(2026,7,1))</f>
        <v/>
      </c>
    </row>
    <row r="27">
      <c r="D27" s="16" t="inlineStr">
        <is>
          <t>Juillet</t>
        </is>
      </c>
      <c r="E27" s="16">
        <f>COUNTIFS(Visites!$B$3:$B$100,"&gt;="&amp;DATE(2026,7,1),Visites!$B$3:$B$100,"&lt;"&amp;DATE(2026,8,1))</f>
        <v/>
      </c>
    </row>
  </sheetData>
  <mergeCells count="1">
    <mergeCell ref="A1:H1"/>
  </mergeCells>
  <pageMargins left="0.75" right="0.75" top="1" bottom="1" header="0.5" footer="0.5"/>
  <drawing xmlns:r="http://schemas.openxmlformats.org/officeDocument/2006/relationships" r:id="rId1"/>
</worksheet>
</file>

<file path=xl/worksheets/sheet5.xml><?xml version="1.0" encoding="utf-8"?>
<worksheet xmlns="http://schemas.openxmlformats.org/spreadsheetml/2006/main">
  <sheetPr>
    <outlinePr summaryBelow="1" summaryRight="1"/>
    <pageSetUpPr/>
  </sheetPr>
  <dimension ref="B2:C9"/>
  <sheetViews>
    <sheetView showGridLines="0" workbookViewId="0">
      <selection activeCell="A1" sqref="A1"/>
    </sheetView>
  </sheetViews>
  <sheetFormatPr baseColWidth="8" defaultRowHeight="15"/>
  <cols>
    <col width="4" customWidth="1" min="1" max="1"/>
    <col width="24" customWidth="1" min="2" max="2"/>
    <col width="90" customWidth="1" min="3" max="3"/>
  </cols>
  <sheetData>
    <row r="2" ht="34" customHeight="1">
      <c r="B2" s="27" t="inlineStr">
        <is>
          <t>Mode d'emploi — Fiche de suivi ruche</t>
        </is>
      </c>
    </row>
    <row r="4" ht="78" customHeight="1">
      <c r="B4" s="28" t="inlineStr">
        <is>
          <t>Ruches</t>
        </is>
      </c>
      <c r="C4" s="12" t="inlineStr">
        <is>
          <t>Registre d'identification du rucher : une ligne par ruche. Saisir l'ID, le rucher, la ville, le type de ruche, la date de mise en service, l'origine, l'année de la reine, la race et le statut (liste déroulante). Les colonnes « Dernière visite » et « Production cumulée » se calculent automatiquement à partir des feuilles Visites et Récoltes.</t>
        </is>
      </c>
    </row>
    <row r="5" ht="78" customHeight="1">
      <c r="B5" s="28" t="inlineStr">
        <is>
          <t>Visites</t>
        </is>
      </c>
      <c r="C5" s="12" t="inlineStr">
        <is>
          <t>Journal des interventions : une ligne par visite. Renseigner la date, l'apiculteur, le motif, la météo, la force de la colonie (1 à 5), le couvain, la reine, les réserves, les cellules royales, les varroas et le traitement. La colonne « Alerte » signale automatiquement « À surveiller » si la reine ou le couvain est absent, si des cellules royales ou des varroas sont présents, ou si les réserves sont inférieures à 5 kg. « Échéance » signale les actions en retard par rapport à la date du jour.</t>
        </is>
      </c>
    </row>
    <row r="6" ht="78" customHeight="1">
      <c r="B6" s="28" t="inlineStr">
        <is>
          <t>Récoltes</t>
        </is>
      </c>
      <c r="C6" s="18" t="inlineStr">
        <is>
          <t>Suivi des récoltes : une ligne par lot. Saisir la date, la quantité en kg, le type de miel, le nombre de hausses, l'humidité, le lot de traçabilité et la destination. Le rucher est retrouvé automatiquement, la conformité de l'humidité (seuil 18 %) est contrôlée, et les totaux figurent en ligne corail.</t>
        </is>
      </c>
    </row>
    <row r="7" ht="78" customHeight="1">
      <c r="B7" s="28" t="inlineStr">
        <is>
          <t>Tableau de bord</t>
        </is>
      </c>
      <c r="C7" s="18" t="inlineStr">
        <is>
          <t>Synthèse automatique : indicateurs clés (ruches actives, alertes, production totale, rendement moyen, taux d'activité) et trois graphiques — production par ruche, répartition par statut, nombre de visites par mois. Aucune saisie nécessaire sur cette feuille.</t>
        </is>
      </c>
    </row>
    <row r="8" ht="78" customHeight="1">
      <c r="B8" s="28" t="inlineStr">
        <is>
          <t>Conventions</t>
        </is>
      </c>
      <c r="C8" s="12" t="inlineStr">
        <is>
          <t>Cellules jaune pâle = champs à saisir manuellement. Lignes alternées violet clair / blanc pour la lisibilité. Ligne corail = totaux et indicateurs. Vert = situation favorable, rouge = alerte ou action en retard. Dates au format JJ/MM/AAAA, poids en kg, températures en °C.</t>
        </is>
      </c>
    </row>
    <row r="9" ht="78" customHeight="1">
      <c r="B9" s="28" t="inlineStr">
        <is>
          <t>Conseils</t>
        </is>
      </c>
      <c r="C9" s="12" t="inlineStr">
        <is>
          <t>Ne pas insérer de lignes au-dessus des en-têtes. Pour ajouter une ruche, une visite ou une récolte, compléter simplement la première ligne vide : les formules des colonnes automatiques peuvent être recopiées vers le bas. Les plages de calcul couvrent jusqu'à la ligne 100 (Ruches, Visites) et 200 selon les feuilles.</t>
        </is>
      </c>
    </row>
  </sheetData>
  <mergeCells count="1">
    <mergeCell ref="B2:C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2026-08-01T05:12:28Z</dcterms:created>
  <dcterms:modified xmlns:dcterms="http://purl.org/dc/terms/" xmlns:xsi="http://www.w3.org/2001/XMLSchema-instance" xsi:type="dcterms:W3CDTF">2026-08-01T05:12:28Z</dcterms:modified>
</cp:coreProperties>
</file>