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maintenance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Référentiel" sheetId="4" state="visible" r:id="rId4"/>
  </sheets>
  <definedNames>
    <definedName name="_xlnm._FilterDatabase" localSheetId="0" hidden="1">'Suivi maintenance'!$A$1:$V$101</definedName>
    <definedName name="_xlnm._FilterDatabase" localSheetId="3" hidden="1">'Référentiel'!$A$3:$E$11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&quot; €&quot;"/>
    <numFmt numFmtId="166" formatCode="0.0%"/>
    <numFmt numFmtId="167" formatCode="MM/YYYY"/>
  </numFmts>
  <fonts count="10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sz val="10"/>
    </font>
    <font>
      <name val="Aptos"/>
      <b val="1"/>
      <sz val="10"/>
    </font>
    <font>
      <name val="Aptos Display"/>
      <b val="1"/>
      <color rgb="00FFFFFF"/>
      <sz val="16"/>
    </font>
    <font>
      <name val="Aptos"/>
      <b val="1"/>
      <color rgb="004A2AA5"/>
      <sz val="10"/>
    </font>
    <font>
      <name val="Aptos Display"/>
      <b val="1"/>
      <color rgb="004A2AA5"/>
      <sz val="16"/>
    </font>
    <font>
      <name val="Aptos"/>
      <b val="1"/>
      <color rgb="0016A34A"/>
      <sz val="10"/>
    </font>
    <font>
      <name val="Aptos"/>
      <b val="1"/>
      <color rgb="00FF6B4A"/>
      <sz val="14"/>
    </font>
    <font>
      <name val="Aptos"/>
      <b val="1"/>
      <color rgb="00DC2626"/>
      <sz val="10"/>
    </font>
  </fonts>
  <fills count="8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FFBEB"/>
      </patternFill>
    </fill>
    <fill>
      <patternFill patternType="solid">
        <fgColor rgb="00F1EDFB"/>
      </patternFill>
    </fill>
    <fill>
      <patternFill patternType="solid">
        <fgColor rgb="00FFFFFF"/>
      </patternFill>
    </fill>
    <fill>
      <patternFill patternType="solid">
        <fgColor rgb="00FF6B4A"/>
      </patternFill>
    </fill>
    <fill>
      <patternFill patternType="solid">
        <fgColor rgb="005D3BC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2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2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8" fillId="4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5" fontId="8" fillId="4" borderId="1" applyAlignment="1" pivotButton="0" quotePrefix="0" xfId="0">
      <alignment horizontal="center" vertical="center" wrapText="1"/>
    </xf>
    <xf numFmtId="165" fontId="6" fillId="4" borderId="1" applyAlignment="1" pivotButton="0" quotePrefix="0" xfId="0">
      <alignment horizontal="center" vertical="center" wrapText="1"/>
    </xf>
    <xf numFmtId="2" fontId="6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8" fillId="4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5" fontId="8" fillId="4" borderId="1" applyAlignment="1" pivotButton="0" quotePrefix="0" xfId="0">
      <alignment horizontal="center" vertical="center" wrapText="1"/>
    </xf>
    <xf numFmtId="165" fontId="6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name val="Aptos"/>
        <b val="1"/>
        <color rgb="00DC2626"/>
        <sz val="10"/>
      </font>
    </dxf>
    <dxf>
      <fill>
        <patternFill patternType="solid">
          <fgColor rgb="00FFFBEB"/>
        </patternFill>
      </fill>
    </dxf>
    <dxf>
      <font>
        <name val="Aptos"/>
        <b val="1"/>
        <color rgb="0016A34A"/>
        <sz val="10"/>
      </font>
    </dxf>
    <dxf>
      <font>
        <name val="Aptos"/>
        <b val="1"/>
        <sz val="10"/>
      </font>
      <fill>
        <patternFill patternType="solid">
          <fgColor rgb="00FF6B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Coût total par machine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bord'!K3</f>
            </strRef>
          </tx>
          <spPr>
            <a:solidFill xmlns:a="http://schemas.openxmlformats.org/drawingml/2006/main">
              <a:srgbClr val="FF6B4A"/>
            </a:solidFill>
            <a:ln xmlns:a="http://schemas.openxmlformats.org/drawingml/2006/main">
              <a:prstDash val="solid"/>
            </a:ln>
          </spPr>
          <cat>
            <numRef>
              <f>'Tableau de bord'!$J$4:$J$12</f>
            </numRef>
          </cat>
          <val>
            <numRef>
              <f>'Tableau de bord'!$K$4:$K$12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Coût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Machine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par type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bord'!E3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4A2AA5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D3BC4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bord'!$D$4:$D$6</f>
            </numRef>
          </cat>
          <val>
            <numRef>
              <f>'Tableau de bord'!$E$4:$E$6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Interventions par mois</a:t>
            </a:r>
          </a:p>
        </rich>
      </tx>
    </title>
    <plotArea>
      <lineChart>
        <grouping val="standard"/>
        <ser>
          <idx val="0"/>
          <order val="0"/>
          <tx>
            <strRef>
              <f>'Tableau de bord'!H3</f>
            </strRef>
          </tx>
          <spPr>
            <a:ln xmlns:a="http://schemas.openxmlformats.org/drawingml/2006/main" w="28000">
              <a:solidFill>
                <a:srgbClr val="4A2AA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bord'!$G$4:$G$15</f>
            </numRef>
          </cat>
          <val>
            <numRef>
              <f>'Tableau de bord'!$H$4:$H$15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d’interventions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17</col>
      <colOff>0</colOff>
      <row>17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02"/>
  <sheetViews>
    <sheetView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6" customWidth="1" min="3" max="3"/>
    <col width="27" customWidth="1" min="4" max="4"/>
    <col width="15" customWidth="1" min="5" max="5"/>
    <col width="22" customWidth="1" min="6" max="6"/>
    <col width="15" customWidth="1" min="7" max="7"/>
    <col width="19" customWidth="1" min="8" max="8"/>
    <col width="42" customWidth="1" min="9" max="9"/>
    <col width="23" customWidth="1" min="10" max="10"/>
    <col width="21" customWidth="1" min="11" max="11"/>
    <col width="13" customWidth="1" min="12" max="12"/>
    <col width="15" customWidth="1" min="13" max="13"/>
    <col width="16" customWidth="1" min="14" max="14"/>
    <col width="22" customWidth="1" min="15" max="15"/>
    <col width="16" customWidth="1" min="16" max="16"/>
    <col width="22" customWidth="1" min="17" max="17"/>
    <col width="17" customWidth="1" min="18" max="18"/>
    <col width="18" customWidth="1" min="19" max="19"/>
    <col width="19" customWidth="1" min="20" max="20"/>
    <col width="18" customWidth="1" min="21" max="21"/>
    <col width="38" customWidth="1" min="22" max="22"/>
  </cols>
  <sheetData>
    <row r="1">
      <c r="A1" s="1" t="inlineStr">
        <is>
          <t>ID intervention</t>
        </is>
      </c>
      <c r="B1" s="1" t="inlineStr">
        <is>
          <t>Date de demande</t>
        </is>
      </c>
      <c r="C1" s="1" t="inlineStr">
        <is>
          <t>Date d’intervention</t>
        </is>
      </c>
      <c r="D1" s="1" t="inlineStr">
        <is>
          <t>Machine</t>
        </is>
      </c>
      <c r="E1" s="1" t="inlineStr">
        <is>
          <t>Code machine</t>
        </is>
      </c>
      <c r="F1" s="1" t="inlineStr">
        <is>
          <t>Site</t>
        </is>
      </c>
      <c r="G1" s="1" t="inlineStr">
        <is>
          <t>Ville</t>
        </is>
      </c>
      <c r="H1" s="1" t="inlineStr">
        <is>
          <t>Type de maintenance</t>
        </is>
      </c>
      <c r="I1" s="1" t="inlineStr">
        <is>
          <t>Description de l’intervention</t>
        </is>
      </c>
      <c r="J1" s="1" t="inlineStr">
        <is>
          <t>Technicien responsable</t>
        </is>
      </c>
      <c r="K1" s="1" t="inlineStr">
        <is>
          <t>Prestataire</t>
        </is>
      </c>
      <c r="L1" s="1" t="inlineStr">
        <is>
          <t>Priorité</t>
        </is>
      </c>
      <c r="M1" s="1" t="inlineStr">
        <is>
          <t>Statut</t>
        </is>
      </c>
      <c r="N1" s="1" t="inlineStr">
        <is>
          <t>Heures d’arrêt</t>
        </is>
      </c>
      <c r="O1" s="1" t="inlineStr">
        <is>
          <t>Durée d’intervention (h)</t>
        </is>
      </c>
      <c r="P1" s="1" t="inlineStr">
        <is>
          <t>Coût pièces (€)</t>
        </is>
      </c>
      <c r="Q1" s="1" t="inlineStr">
        <is>
          <t>Coût main-d’œuvre (€)</t>
        </is>
      </c>
      <c r="R1" s="1" t="inlineStr">
        <is>
          <t>Coût total (€)</t>
        </is>
      </c>
      <c r="S1" s="1" t="inlineStr">
        <is>
          <t>Prochaine échéance</t>
        </is>
      </c>
      <c r="T1" s="1" t="inlineStr">
        <is>
          <t>Jours avant échéance</t>
        </is>
      </c>
      <c r="U1" s="1" t="inlineStr">
        <is>
          <t>Alerte échéance</t>
        </is>
      </c>
      <c r="V1" s="1" t="inlineStr">
        <is>
          <t>Commentaires</t>
        </is>
      </c>
    </row>
    <row r="2" ht="34" customHeight="1">
      <c r="A2" s="2" t="inlineStr">
        <is>
          <t>INT-2026-001</t>
        </is>
      </c>
      <c r="B2" s="35" t="n">
        <v>46030</v>
      </c>
      <c r="C2" s="35" t="n">
        <v>46032</v>
      </c>
      <c r="D2" s="4">
        <f>IF(E2="","",IFERROR(VLOOKUP(E2,'Référentiel'!$A$3:$B$11,2,FALSE),""))</f>
        <v/>
      </c>
      <c r="E2" s="2" t="inlineStr">
        <is>
          <t>PH-01</t>
        </is>
      </c>
      <c r="F2" s="5" t="inlineStr">
        <is>
          <t>Usine Paris Nord</t>
        </is>
      </c>
      <c r="G2" s="2" t="inlineStr">
        <is>
          <t>Paris</t>
        </is>
      </c>
      <c r="H2" s="2" t="inlineStr">
        <is>
          <t>Préventive</t>
        </is>
      </c>
      <c r="I2" s="5" t="inlineStr">
        <is>
          <t>Contrôle des vérins et graissage du circuit hydraulique.</t>
        </is>
      </c>
      <c r="J2" s="2" t="inlineStr">
        <is>
          <t>Camille Martin</t>
        </is>
      </c>
      <c r="K2" s="2" t="inlineStr">
        <is>
          <t>Atelier interne</t>
        </is>
      </c>
      <c r="L2" s="2" t="inlineStr">
        <is>
          <t>Normale</t>
        </is>
      </c>
      <c r="M2" s="2" t="inlineStr">
        <is>
          <t>Terminée</t>
        </is>
      </c>
      <c r="N2" s="6" t="n">
        <v>1.25</v>
      </c>
      <c r="O2" s="6" t="n">
        <v>0.75</v>
      </c>
      <c r="P2" s="36" t="n">
        <v>0</v>
      </c>
      <c r="Q2" s="36" t="n">
        <v>85</v>
      </c>
      <c r="R2" s="37">
        <f>IF(AND(P2="",Q2=""),"",SUM(P2:Q2))</f>
        <v/>
      </c>
      <c r="S2" s="35" t="n">
        <v>46283</v>
      </c>
      <c r="T2" s="9">
        <f>IF(S2="","",S2-TODAY())</f>
        <v/>
      </c>
      <c r="U2" s="10">
        <f>IF(A2="","",IF(M2="Terminée","Clôturée",IF(S2="","",IF(S2&lt;TODAY(),"En retard",IF(S2-TODAY()&lt;=30,"À planifier","À jour")))))</f>
        <v/>
      </c>
      <c r="V2" s="5" t="inlineStr">
        <is>
          <t>Inspection conforme, aucun remplacement nécessaire.</t>
        </is>
      </c>
    </row>
    <row r="3" ht="34" customHeight="1">
      <c r="A3" s="2" t="inlineStr">
        <is>
          <t>INT-2026-002</t>
        </is>
      </c>
      <c r="B3" s="35" t="n">
        <v>46068</v>
      </c>
      <c r="C3" s="35" t="n">
        <v>46070</v>
      </c>
      <c r="D3" s="11">
        <f>IF(E3="","",IFERROR(VLOOKUP(E3,'Référentiel'!$A$3:$B$11,2,FALSE),""))</f>
        <v/>
      </c>
      <c r="E3" s="2" t="inlineStr">
        <is>
          <t>CN-02</t>
        </is>
      </c>
      <c r="F3" s="5" t="inlineStr">
        <is>
          <t>Usine Lyon Est</t>
        </is>
      </c>
      <c r="G3" s="2" t="inlineStr">
        <is>
          <t>Lyon</t>
        </is>
      </c>
      <c r="H3" s="2" t="inlineStr">
        <is>
          <t>Curative</t>
        </is>
      </c>
      <c r="I3" s="5" t="inlineStr">
        <is>
          <t>Remplacement du capteur de position de la broche.</t>
        </is>
      </c>
      <c r="J3" s="2" t="inlineStr">
        <is>
          <t>Lucas Bernard</t>
        </is>
      </c>
      <c r="K3" s="2" t="inlineStr">
        <is>
          <t>TechniServ</t>
        </is>
      </c>
      <c r="L3" s="2" t="inlineStr">
        <is>
          <t>Haute</t>
        </is>
      </c>
      <c r="M3" s="2" t="inlineStr">
        <is>
          <t>Terminée</t>
        </is>
      </c>
      <c r="N3" s="6" t="n">
        <v>2.5</v>
      </c>
      <c r="O3" s="6" t="n">
        <v>2.5</v>
      </c>
      <c r="P3" s="36" t="n">
        <v>180</v>
      </c>
      <c r="Q3" s="36" t="n">
        <v>320</v>
      </c>
      <c r="R3" s="38">
        <f>IF(AND(P3="",Q3=""),"",SUM(P3:Q3))</f>
        <v/>
      </c>
      <c r="S3" s="35" t="n">
        <v>46307</v>
      </c>
      <c r="T3" s="13">
        <f>IF(S3="","",S3-TODAY())</f>
        <v/>
      </c>
      <c r="U3" s="14">
        <f>IF(A3="","",IF(M3="Terminée","Clôturée",IF(S3="","",IF(S3&lt;TODAY(),"En retard",IF(S3-TODAY()&lt;=30,"À planifier","À jour")))))</f>
        <v/>
      </c>
      <c r="V3" s="5" t="inlineStr">
        <is>
          <t>Essais de reprise validés après intervention.</t>
        </is>
      </c>
    </row>
    <row r="4" ht="34" customHeight="1">
      <c r="A4" s="2" t="inlineStr">
        <is>
          <t>INT-2026-003</t>
        </is>
      </c>
      <c r="B4" s="35" t="n">
        <v>46085</v>
      </c>
      <c r="C4" s="35" t="n">
        <v>46086</v>
      </c>
      <c r="D4" s="4">
        <f>IF(E4="","",IFERROR(VLOOKUP(E4,'Référentiel'!$A$3:$B$11,2,FALSE),""))</f>
        <v/>
      </c>
      <c r="E4" s="2" t="inlineStr">
        <is>
          <t>CP-03</t>
        </is>
      </c>
      <c r="F4" s="5" t="inlineStr">
        <is>
          <t>Usine Marseille Sud</t>
        </is>
      </c>
      <c r="G4" s="2" t="inlineStr">
        <is>
          <t>Marseille</t>
        </is>
      </c>
      <c r="H4" s="2" t="inlineStr">
        <is>
          <t>Curative</t>
        </is>
      </c>
      <c r="I4" s="5" t="inlineStr">
        <is>
          <t>Révision complète du compresseur et remplacement du bloc filtre.</t>
        </is>
      </c>
      <c r="J4" s="2" t="inlineStr">
        <is>
          <t>Emma Dubois</t>
        </is>
      </c>
      <c r="K4" s="2" t="inlineStr">
        <is>
          <t>ProMaintenance</t>
        </is>
      </c>
      <c r="L4" s="2" t="inlineStr">
        <is>
          <t>Critique</t>
        </is>
      </c>
      <c r="M4" s="2" t="inlineStr">
        <is>
          <t>Terminée</t>
        </is>
      </c>
      <c r="N4" s="6" t="n">
        <v>6</v>
      </c>
      <c r="O4" s="6" t="n">
        <v>8</v>
      </c>
      <c r="P4" s="36" t="n">
        <v>1250</v>
      </c>
      <c r="Q4" s="36" t="n">
        <v>1200</v>
      </c>
      <c r="R4" s="37">
        <f>IF(AND(P4="",Q4=""),"",SUM(P4:Q4))</f>
        <v/>
      </c>
      <c r="S4" s="35" t="n">
        <v>46331</v>
      </c>
      <c r="T4" s="9">
        <f>IF(S4="","",S4-TODAY())</f>
        <v/>
      </c>
      <c r="U4" s="10">
        <f>IF(A4="","",IF(M4="Terminée","Clôturée",IF(S4="","",IF(S4&lt;TODAY(),"En retard",IF(S4-TODAY()&lt;=30,"À planifier","À jour")))))</f>
        <v/>
      </c>
      <c r="V4" s="5" t="inlineStr">
        <is>
          <t>Rapport de vibration joint au bon d’intervention.</t>
        </is>
      </c>
    </row>
    <row r="5" ht="34" customHeight="1">
      <c r="A5" s="2" t="inlineStr">
        <is>
          <t>INT-2026-004</t>
        </is>
      </c>
      <c r="B5" s="35" t="n">
        <v>46124</v>
      </c>
      <c r="C5" s="35" t="n">
        <v>46126</v>
      </c>
      <c r="D5" s="11">
        <f>IF(E5="","",IFERROR(VLOOKUP(E5,'Référentiel'!$A$3:$B$11,2,FALSE),""))</f>
        <v/>
      </c>
      <c r="E5" s="2" t="inlineStr">
        <is>
          <t>CV-04</t>
        </is>
      </c>
      <c r="F5" s="5" t="inlineStr">
        <is>
          <t>Usine Toulouse Ouest</t>
        </is>
      </c>
      <c r="G5" s="2" t="inlineStr">
        <is>
          <t>Toulouse</t>
        </is>
      </c>
      <c r="H5" s="2" t="inlineStr">
        <is>
          <t>Préventive</t>
        </is>
      </c>
      <c r="I5" s="5" t="inlineStr">
        <is>
          <t>Réglage de la tension de bande et contrôle des rouleaux.</t>
        </is>
      </c>
      <c r="J5" s="2" t="inlineStr">
        <is>
          <t>Hugo Morel</t>
        </is>
      </c>
      <c r="K5" s="2" t="inlineStr">
        <is>
          <t>Atelier interne</t>
        </is>
      </c>
      <c r="L5" s="2" t="inlineStr">
        <is>
          <t>Basse</t>
        </is>
      </c>
      <c r="M5" s="2" t="inlineStr">
        <is>
          <t>Terminée</t>
        </is>
      </c>
      <c r="N5" s="6" t="n">
        <v>1.75</v>
      </c>
      <c r="O5" s="6" t="n">
        <v>4</v>
      </c>
      <c r="P5" s="36" t="n">
        <v>350</v>
      </c>
      <c r="Q5" s="36" t="n">
        <v>420</v>
      </c>
      <c r="R5" s="38">
        <f>IF(AND(P5="",Q5=""),"",SUM(P5:Q5))</f>
        <v/>
      </c>
      <c r="S5" s="35" t="n">
        <v>46366</v>
      </c>
      <c r="T5" s="13">
        <f>IF(S5="","",S5-TODAY())</f>
        <v/>
      </c>
      <c r="U5" s="14">
        <f>IF(A5="","",IF(M5="Terminée","Clôturée",IF(S5="","",IF(S5&lt;TODAY(),"En retard",IF(S5-TODAY()&lt;=30,"À planifier","À jour")))))</f>
        <v/>
      </c>
      <c r="V5" s="5" t="inlineStr">
        <is>
          <t>Bande réalignée et nettoyage du convoyeur effectué.</t>
        </is>
      </c>
    </row>
    <row r="6" ht="34" customHeight="1">
      <c r="A6" s="2" t="inlineStr">
        <is>
          <t>INT-2026-005</t>
        </is>
      </c>
      <c r="B6" s="35" t="n">
        <v>46149</v>
      </c>
      <c r="C6" s="35" t="n">
        <v>46151</v>
      </c>
      <c r="D6" s="4">
        <f>IF(E6="","",IFERROR(VLOOKUP(E6,'Référentiel'!$A$3:$B$11,2,FALSE),""))</f>
        <v/>
      </c>
      <c r="E6" s="2" t="inlineStr">
        <is>
          <t>FR-05</t>
        </is>
      </c>
      <c r="F6" s="5" t="inlineStr">
        <is>
          <t>Usine Bordeaux Centre</t>
        </is>
      </c>
      <c r="G6" s="2" t="inlineStr">
        <is>
          <t>Bordeaux</t>
        </is>
      </c>
      <c r="H6" s="2" t="inlineStr">
        <is>
          <t>Contrôle</t>
        </is>
      </c>
      <c r="I6" s="5" t="inlineStr">
        <is>
          <t>Contrôle géométrique, lubrification et vérification des sécurités.</t>
        </is>
      </c>
      <c r="J6" s="2" t="inlineStr">
        <is>
          <t>Léa Petit</t>
        </is>
      </c>
      <c r="K6" s="2" t="inlineStr">
        <is>
          <t>HydroFrance</t>
        </is>
      </c>
      <c r="L6" s="2" t="inlineStr">
        <is>
          <t>Normale</t>
        </is>
      </c>
      <c r="M6" s="2" t="inlineStr">
        <is>
          <t>Terminée</t>
        </is>
      </c>
      <c r="N6" s="6" t="n">
        <v>2</v>
      </c>
      <c r="O6" s="6" t="n">
        <v>3.5</v>
      </c>
      <c r="P6" s="36" t="n">
        <v>560</v>
      </c>
      <c r="Q6" s="36" t="n">
        <v>740</v>
      </c>
      <c r="R6" s="37">
        <f>IF(AND(P6="",Q6=""),"",SUM(P6:Q6))</f>
        <v/>
      </c>
      <c r="S6" s="35" t="n">
        <v>46376</v>
      </c>
      <c r="T6" s="9">
        <f>IF(S6="","",S6-TODAY())</f>
        <v/>
      </c>
      <c r="U6" s="10">
        <f>IF(A6="","",IF(M6="Terminée","Clôturée",IF(S6="","",IF(S6&lt;TODAY(),"En retard",IF(S6-TODAY()&lt;=30,"À planifier","À jour")))))</f>
        <v/>
      </c>
      <c r="V6" s="5" t="inlineStr">
        <is>
          <t>Conformité validée, prochaine visite annuelle programmée.</t>
        </is>
      </c>
    </row>
    <row r="7" ht="34" customHeight="1">
      <c r="A7" s="2" t="inlineStr">
        <is>
          <t>INT-2026-006</t>
        </is>
      </c>
      <c r="B7" s="35" t="n">
        <v>46191</v>
      </c>
      <c r="C7" s="35" t="n">
        <v>46193</v>
      </c>
      <c r="D7" s="11">
        <f>IF(E7="","",IFERROR(VLOOKUP(E7,'Référentiel'!$A$3:$B$11,2,FALSE),""))</f>
        <v/>
      </c>
      <c r="E7" s="2" t="inlineStr">
        <is>
          <t>CH-06</t>
        </is>
      </c>
      <c r="F7" s="5" t="inlineStr">
        <is>
          <t>Usine Lille Métropole</t>
        </is>
      </c>
      <c r="G7" s="2" t="inlineStr">
        <is>
          <t>Lille</t>
        </is>
      </c>
      <c r="H7" s="2" t="inlineStr">
        <is>
          <t>Préventive</t>
        </is>
      </c>
      <c r="I7" s="5" t="inlineStr">
        <is>
          <t>Désembouage partiel et contrôle des organes de sécurité.</t>
        </is>
      </c>
      <c r="J7" s="2" t="inlineStr">
        <is>
          <t>Louis Robert</t>
        </is>
      </c>
      <c r="K7" s="2" t="inlineStr">
        <is>
          <t>Énergie Industrie</t>
        </is>
      </c>
      <c r="L7" s="2" t="inlineStr">
        <is>
          <t>Haute</t>
        </is>
      </c>
      <c r="M7" s="2" t="inlineStr">
        <is>
          <t>Planifiée</t>
        </is>
      </c>
      <c r="N7" s="6" t="n">
        <v>3.25</v>
      </c>
      <c r="O7" s="6" t="n">
        <v>2</v>
      </c>
      <c r="P7" s="36" t="n">
        <v>90</v>
      </c>
      <c r="Q7" s="36" t="n">
        <v>260</v>
      </c>
      <c r="R7" s="38">
        <f>IF(AND(P7="",Q7=""),"",SUM(P7:Q7))</f>
        <v/>
      </c>
      <c r="S7" s="35" t="n">
        <v>46281</v>
      </c>
      <c r="T7" s="13">
        <f>IF(S7="","",S7-TODAY())</f>
        <v/>
      </c>
      <c r="U7" s="14">
        <f>IF(A7="","",IF(M7="Terminée","Clôturée",IF(S7="","",IF(S7&lt;TODAY(),"En retard",IF(S7-TODAY()&lt;=30,"À planifier","À jour")))))</f>
        <v/>
      </c>
      <c r="V7" s="5" t="inlineStr">
        <is>
          <t>Arrêt programmé avec le responsable de production.</t>
        </is>
      </c>
    </row>
    <row r="8" ht="34" customHeight="1">
      <c r="A8" s="2" t="inlineStr">
        <is>
          <t>INT-2026-007</t>
        </is>
      </c>
      <c r="B8" s="35" t="n">
        <v>46206</v>
      </c>
      <c r="C8" s="35" t="n">
        <v>46207</v>
      </c>
      <c r="D8" s="4">
        <f>IF(E8="","",IFERROR(VLOOKUP(E8,'Référentiel'!$A$3:$B$11,2,FALSE),""))</f>
        <v/>
      </c>
      <c r="E8" s="2" t="inlineStr">
        <is>
          <t>RS-07</t>
        </is>
      </c>
      <c r="F8" s="5" t="inlineStr">
        <is>
          <t>Usine Nantes Atlantique</t>
        </is>
      </c>
      <c r="G8" s="2" t="inlineStr">
        <is>
          <t>Nantes</t>
        </is>
      </c>
      <c r="H8" s="2" t="inlineStr">
        <is>
          <t>Contrôle</t>
        </is>
      </c>
      <c r="I8" s="5" t="inlineStr">
        <is>
          <t>Vérification des axes, recalibrage et test des sécurités robot.</t>
        </is>
      </c>
      <c r="J8" s="2" t="inlineStr">
        <is>
          <t>Chloé Richard</t>
        </is>
      </c>
      <c r="K8" s="2" t="inlineStr">
        <is>
          <t>ProMaintenance</t>
        </is>
      </c>
      <c r="L8" s="2" t="inlineStr">
        <is>
          <t>Critique</t>
        </is>
      </c>
      <c r="M8" s="2" t="inlineStr">
        <is>
          <t>Planifiée</t>
        </is>
      </c>
      <c r="N8" s="6" t="n">
        <v>4.5</v>
      </c>
      <c r="O8" s="6" t="n">
        <v>6</v>
      </c>
      <c r="P8" s="36" t="n">
        <v>680</v>
      </c>
      <c r="Q8" s="36" t="n">
        <v>980</v>
      </c>
      <c r="R8" s="37">
        <f>IF(AND(P8="",Q8=""),"",SUM(P8:Q8))</f>
        <v/>
      </c>
      <c r="S8" s="35" t="n">
        <v>46320</v>
      </c>
      <c r="T8" s="9">
        <f>IF(S8="","",S8-TODAY())</f>
        <v/>
      </c>
      <c r="U8" s="10">
        <f>IF(A8="","",IF(M8="Terminée","Clôturée",IF(S8="","",IF(S8&lt;TODAY(),"En retard",IF(S8-TODAY()&lt;=30,"À planifier","À jour")))))</f>
        <v/>
      </c>
      <c r="V8" s="5" t="inlineStr">
        <is>
          <t>Intervention à coordonner avec la ligne de soudage.</t>
        </is>
      </c>
    </row>
    <row r="9" ht="34" customHeight="1">
      <c r="A9" s="2" t="inlineStr">
        <is>
          <t>INT-2026-008</t>
        </is>
      </c>
      <c r="B9" s="35" t="n">
        <v>46249</v>
      </c>
      <c r="C9" s="35" t="n">
        <v>46250</v>
      </c>
      <c r="D9" s="11">
        <f>IF(E9="","",IFERROR(VLOOKUP(E9,'Référentiel'!$A$3:$B$11,2,FALSE),""))</f>
        <v/>
      </c>
      <c r="E9" s="2" t="inlineStr">
        <is>
          <t>GE-08</t>
        </is>
      </c>
      <c r="F9" s="5" t="inlineStr">
        <is>
          <t>Usine Strasbourg Rhin</t>
        </is>
      </c>
      <c r="G9" s="2" t="inlineStr">
        <is>
          <t>Strasbourg</t>
        </is>
      </c>
      <c r="H9" s="2" t="inlineStr">
        <is>
          <t>Curative</t>
        </is>
      </c>
      <c r="I9" s="5" t="inlineStr">
        <is>
          <t>Diagnostic du système de démarrage et remplacement du relais.</t>
        </is>
      </c>
      <c r="J9" s="2" t="inlineStr">
        <is>
          <t>Nathan Durand</t>
        </is>
      </c>
      <c r="K9" s="2" t="inlineStr">
        <is>
          <t>Énergie Industrie</t>
        </is>
      </c>
      <c r="L9" s="2" t="inlineStr">
        <is>
          <t>Haute</t>
        </is>
      </c>
      <c r="M9" s="2" t="inlineStr">
        <is>
          <t>En cours</t>
        </is>
      </c>
      <c r="N9" s="6" t="n">
        <v>5.75</v>
      </c>
      <c r="O9" s="6" t="n">
        <v>8</v>
      </c>
      <c r="P9" s="36" t="n">
        <v>350</v>
      </c>
      <c r="Q9" s="36" t="n">
        <v>520</v>
      </c>
      <c r="R9" s="38">
        <f>IF(AND(P9="",Q9=""),"",SUM(P9:Q9))</f>
        <v/>
      </c>
      <c r="S9" s="35" t="n">
        <v>46307</v>
      </c>
      <c r="T9" s="13">
        <f>IF(S9="","",S9-TODAY())</f>
        <v/>
      </c>
      <c r="U9" s="14">
        <f>IF(A9="","",IF(M9="Terminée","Clôturée",IF(S9="","",IF(S9&lt;TODAY(),"En retard",IF(S9-TODAY()&lt;=30,"À planifier","À jour")))))</f>
        <v/>
      </c>
      <c r="V9" s="5" t="inlineStr">
        <is>
          <t>Essais de charge en cours avant remise en service.</t>
        </is>
      </c>
    </row>
    <row r="10" ht="34" customHeight="1">
      <c r="A10" s="2" t="inlineStr">
        <is>
          <t>INT-2026-009</t>
        </is>
      </c>
      <c r="B10" s="35" t="n">
        <v>46260</v>
      </c>
      <c r="C10" s="35" t="n">
        <v>46262</v>
      </c>
      <c r="D10" s="4">
        <f>IF(E10="","",IFERROR(VLOOKUP(E10,'Référentiel'!$A$3:$B$11,2,FALSE),""))</f>
        <v/>
      </c>
      <c r="E10" s="2" t="inlineStr">
        <is>
          <t>LE-09</t>
        </is>
      </c>
      <c r="F10" s="5" t="inlineStr">
        <is>
          <t>Usine Rennes Sud</t>
        </is>
      </c>
      <c r="G10" s="2" t="inlineStr">
        <is>
          <t>Rennes</t>
        </is>
      </c>
      <c r="H10" s="2" t="inlineStr">
        <is>
          <t>Curative</t>
        </is>
      </c>
      <c r="I10" s="5" t="inlineStr">
        <is>
          <t>Remplacement des guides d’entrée et réglage des capteurs.</t>
        </is>
      </c>
      <c r="J10" s="2" t="inlineStr">
        <is>
          <t>Manon Leroy</t>
        </is>
      </c>
      <c r="K10" s="2" t="inlineStr">
        <is>
          <t>TechniServ</t>
        </is>
      </c>
      <c r="L10" s="2" t="inlineStr">
        <is>
          <t>Critique</t>
        </is>
      </c>
      <c r="M10" s="2" t="inlineStr">
        <is>
          <t>En attente</t>
        </is>
      </c>
      <c r="N10" s="6" t="n">
        <v>7</v>
      </c>
      <c r="O10" s="6" t="n">
        <v>5.25</v>
      </c>
      <c r="P10" s="36" t="n">
        <v>1050</v>
      </c>
      <c r="Q10" s="36" t="n">
        <v>900</v>
      </c>
      <c r="R10" s="37">
        <f>IF(AND(P10="",Q10=""),"",SUM(P10:Q10))</f>
        <v/>
      </c>
      <c r="S10" s="35" t="n">
        <v>46266</v>
      </c>
      <c r="T10" s="9">
        <f>IF(S10="","",S10-TODAY())</f>
        <v/>
      </c>
      <c r="U10" s="10">
        <f>IF(A10="","",IF(M10="Terminée","Clôturée",IF(S10="","",IF(S10&lt;TODAY(),"En retard",IF(S10-TODAY()&lt;=30,"À planifier","À jour")))))</f>
        <v/>
      </c>
      <c r="V10" s="5" t="inlineStr">
        <is>
          <t>En attente de pièces de rechange du fournisseur.</t>
        </is>
      </c>
    </row>
    <row r="11" ht="34" customHeight="1">
      <c r="A11" s="2" t="n"/>
      <c r="B11" s="35" t="n"/>
      <c r="C11" s="35" t="n"/>
      <c r="D11" s="11">
        <f>IF(E11="","",IFERROR(VLOOKUP(E11,'Référentiel'!$A$3:$B$11,2,FALSE),""))</f>
        <v/>
      </c>
      <c r="E11" s="2" t="n"/>
      <c r="F11" s="5" t="n"/>
      <c r="G11" s="2" t="n"/>
      <c r="H11" s="2" t="n"/>
      <c r="I11" s="5" t="n"/>
      <c r="J11" s="2" t="n"/>
      <c r="K11" s="2" t="n"/>
      <c r="L11" s="2" t="n"/>
      <c r="M11" s="2" t="n"/>
      <c r="N11" s="6" t="n"/>
      <c r="O11" s="6" t="n"/>
      <c r="P11" s="36" t="n"/>
      <c r="Q11" s="36" t="n"/>
      <c r="R11" s="38">
        <f>IF(AND(P11="",Q11=""),"",SUM(P11:Q11))</f>
        <v/>
      </c>
      <c r="S11" s="35" t="n"/>
      <c r="T11" s="13">
        <f>IF(S11="","",S11-TODAY())</f>
        <v/>
      </c>
      <c r="U11" s="14">
        <f>IF(A11="","",IF(M11="Terminée","Clôturée",IF(S11="","",IF(S11&lt;TODAY(),"En retard",IF(S11-TODAY()&lt;=30,"À planifier","À jour")))))</f>
        <v/>
      </c>
      <c r="V11" s="5" t="n"/>
    </row>
    <row r="12" ht="34" customHeight="1">
      <c r="A12" s="2" t="n"/>
      <c r="B12" s="35" t="n"/>
      <c r="C12" s="35" t="n"/>
      <c r="D12" s="4">
        <f>IF(E12="","",IFERROR(VLOOKUP(E12,'Référentiel'!$A$3:$B$11,2,FALSE),""))</f>
        <v/>
      </c>
      <c r="E12" s="2" t="n"/>
      <c r="F12" s="5" t="n"/>
      <c r="G12" s="2" t="n"/>
      <c r="H12" s="2" t="n"/>
      <c r="I12" s="5" t="n"/>
      <c r="J12" s="2" t="n"/>
      <c r="K12" s="2" t="n"/>
      <c r="L12" s="2" t="n"/>
      <c r="M12" s="2" t="n"/>
      <c r="N12" s="6" t="n"/>
      <c r="O12" s="6" t="n"/>
      <c r="P12" s="36" t="n"/>
      <c r="Q12" s="36" t="n"/>
      <c r="R12" s="37">
        <f>IF(AND(P12="",Q12=""),"",SUM(P12:Q12))</f>
        <v/>
      </c>
      <c r="S12" s="35" t="n"/>
      <c r="T12" s="9">
        <f>IF(S12="","",S12-TODAY())</f>
        <v/>
      </c>
      <c r="U12" s="10">
        <f>IF(A12="","",IF(M12="Terminée","Clôturée",IF(S12="","",IF(S12&lt;TODAY(),"En retard",IF(S12-TODAY()&lt;=30,"À planifier","À jour")))))</f>
        <v/>
      </c>
      <c r="V12" s="5" t="n"/>
    </row>
    <row r="13" ht="34" customHeight="1">
      <c r="A13" s="2" t="n"/>
      <c r="B13" s="35" t="n"/>
      <c r="C13" s="35" t="n"/>
      <c r="D13" s="11">
        <f>IF(E13="","",IFERROR(VLOOKUP(E13,'Référentiel'!$A$3:$B$11,2,FALSE),""))</f>
        <v/>
      </c>
      <c r="E13" s="2" t="n"/>
      <c r="F13" s="5" t="n"/>
      <c r="G13" s="2" t="n"/>
      <c r="H13" s="2" t="n"/>
      <c r="I13" s="5" t="n"/>
      <c r="J13" s="2" t="n"/>
      <c r="K13" s="2" t="n"/>
      <c r="L13" s="2" t="n"/>
      <c r="M13" s="2" t="n"/>
      <c r="N13" s="6" t="n"/>
      <c r="O13" s="6" t="n"/>
      <c r="P13" s="36" t="n"/>
      <c r="Q13" s="36" t="n"/>
      <c r="R13" s="38">
        <f>IF(AND(P13="",Q13=""),"",SUM(P13:Q13))</f>
        <v/>
      </c>
      <c r="S13" s="35" t="n"/>
      <c r="T13" s="13">
        <f>IF(S13="","",S13-TODAY())</f>
        <v/>
      </c>
      <c r="U13" s="14">
        <f>IF(A13="","",IF(M13="Terminée","Clôturée",IF(S13="","",IF(S13&lt;TODAY(),"En retard",IF(S13-TODAY()&lt;=30,"À planifier","À jour")))))</f>
        <v/>
      </c>
      <c r="V13" s="5" t="n"/>
    </row>
    <row r="14" ht="34" customHeight="1">
      <c r="A14" s="2" t="n"/>
      <c r="B14" s="35" t="n"/>
      <c r="C14" s="35" t="n"/>
      <c r="D14" s="4">
        <f>IF(E14="","",IFERROR(VLOOKUP(E14,'Référentiel'!$A$3:$B$11,2,FALSE),""))</f>
        <v/>
      </c>
      <c r="E14" s="2" t="n"/>
      <c r="F14" s="5" t="n"/>
      <c r="G14" s="2" t="n"/>
      <c r="H14" s="2" t="n"/>
      <c r="I14" s="5" t="n"/>
      <c r="J14" s="2" t="n"/>
      <c r="K14" s="2" t="n"/>
      <c r="L14" s="2" t="n"/>
      <c r="M14" s="2" t="n"/>
      <c r="N14" s="6" t="n"/>
      <c r="O14" s="6" t="n"/>
      <c r="P14" s="36" t="n"/>
      <c r="Q14" s="36" t="n"/>
      <c r="R14" s="37">
        <f>IF(AND(P14="",Q14=""),"",SUM(P14:Q14))</f>
        <v/>
      </c>
      <c r="S14" s="35" t="n"/>
      <c r="T14" s="9">
        <f>IF(S14="","",S14-TODAY())</f>
        <v/>
      </c>
      <c r="U14" s="10">
        <f>IF(A14="","",IF(M14="Terminée","Clôturée",IF(S14="","",IF(S14&lt;TODAY(),"En retard",IF(S14-TODAY()&lt;=30,"À planifier","À jour")))))</f>
        <v/>
      </c>
      <c r="V14" s="5" t="n"/>
    </row>
    <row r="15" ht="34" customHeight="1">
      <c r="A15" s="2" t="n"/>
      <c r="B15" s="35" t="n"/>
      <c r="C15" s="35" t="n"/>
      <c r="D15" s="11">
        <f>IF(E15="","",IFERROR(VLOOKUP(E15,'Référentiel'!$A$3:$B$11,2,FALSE),""))</f>
        <v/>
      </c>
      <c r="E15" s="2" t="n"/>
      <c r="F15" s="5" t="n"/>
      <c r="G15" s="2" t="n"/>
      <c r="H15" s="2" t="n"/>
      <c r="I15" s="5" t="n"/>
      <c r="J15" s="2" t="n"/>
      <c r="K15" s="2" t="n"/>
      <c r="L15" s="2" t="n"/>
      <c r="M15" s="2" t="n"/>
      <c r="N15" s="6" t="n"/>
      <c r="O15" s="6" t="n"/>
      <c r="P15" s="36" t="n"/>
      <c r="Q15" s="36" t="n"/>
      <c r="R15" s="38">
        <f>IF(AND(P15="",Q15=""),"",SUM(P15:Q15))</f>
        <v/>
      </c>
      <c r="S15" s="35" t="n"/>
      <c r="T15" s="13">
        <f>IF(S15="","",S15-TODAY())</f>
        <v/>
      </c>
      <c r="U15" s="14">
        <f>IF(A15="","",IF(M15="Terminée","Clôturée",IF(S15="","",IF(S15&lt;TODAY(),"En retard",IF(S15-TODAY()&lt;=30,"À planifier","À jour")))))</f>
        <v/>
      </c>
      <c r="V15" s="5" t="n"/>
    </row>
    <row r="16" ht="34" customHeight="1">
      <c r="A16" s="2" t="n"/>
      <c r="B16" s="35" t="n"/>
      <c r="C16" s="35" t="n"/>
      <c r="D16" s="4">
        <f>IF(E16="","",IFERROR(VLOOKUP(E16,'Référentiel'!$A$3:$B$11,2,FALSE),""))</f>
        <v/>
      </c>
      <c r="E16" s="2" t="n"/>
      <c r="F16" s="5" t="n"/>
      <c r="G16" s="2" t="n"/>
      <c r="H16" s="2" t="n"/>
      <c r="I16" s="5" t="n"/>
      <c r="J16" s="2" t="n"/>
      <c r="K16" s="2" t="n"/>
      <c r="L16" s="2" t="n"/>
      <c r="M16" s="2" t="n"/>
      <c r="N16" s="6" t="n"/>
      <c r="O16" s="6" t="n"/>
      <c r="P16" s="36" t="n"/>
      <c r="Q16" s="36" t="n"/>
      <c r="R16" s="37">
        <f>IF(AND(P16="",Q16=""),"",SUM(P16:Q16))</f>
        <v/>
      </c>
      <c r="S16" s="35" t="n"/>
      <c r="T16" s="9">
        <f>IF(S16="","",S16-TODAY())</f>
        <v/>
      </c>
      <c r="U16" s="10">
        <f>IF(A16="","",IF(M16="Terminée","Clôturée",IF(S16="","",IF(S16&lt;TODAY(),"En retard",IF(S16-TODAY()&lt;=30,"À planifier","À jour")))))</f>
        <v/>
      </c>
      <c r="V16" s="5" t="n"/>
    </row>
    <row r="17" ht="34" customHeight="1">
      <c r="A17" s="2" t="n"/>
      <c r="B17" s="35" t="n"/>
      <c r="C17" s="35" t="n"/>
      <c r="D17" s="11">
        <f>IF(E17="","",IFERROR(VLOOKUP(E17,'Référentiel'!$A$3:$B$11,2,FALSE),""))</f>
        <v/>
      </c>
      <c r="E17" s="2" t="n"/>
      <c r="F17" s="5" t="n"/>
      <c r="G17" s="2" t="n"/>
      <c r="H17" s="2" t="n"/>
      <c r="I17" s="5" t="n"/>
      <c r="J17" s="2" t="n"/>
      <c r="K17" s="2" t="n"/>
      <c r="L17" s="2" t="n"/>
      <c r="M17" s="2" t="n"/>
      <c r="N17" s="6" t="n"/>
      <c r="O17" s="6" t="n"/>
      <c r="P17" s="36" t="n"/>
      <c r="Q17" s="36" t="n"/>
      <c r="R17" s="38">
        <f>IF(AND(P17="",Q17=""),"",SUM(P17:Q17))</f>
        <v/>
      </c>
      <c r="S17" s="35" t="n"/>
      <c r="T17" s="13">
        <f>IF(S17="","",S17-TODAY())</f>
        <v/>
      </c>
      <c r="U17" s="14">
        <f>IF(A17="","",IF(M17="Terminée","Clôturée",IF(S17="","",IF(S17&lt;TODAY(),"En retard",IF(S17-TODAY()&lt;=30,"À planifier","À jour")))))</f>
        <v/>
      </c>
      <c r="V17" s="5" t="n"/>
    </row>
    <row r="18" ht="34" customHeight="1">
      <c r="A18" s="2" t="n"/>
      <c r="B18" s="35" t="n"/>
      <c r="C18" s="35" t="n"/>
      <c r="D18" s="4">
        <f>IF(E18="","",IFERROR(VLOOKUP(E18,'Référentiel'!$A$3:$B$11,2,FALSE),""))</f>
        <v/>
      </c>
      <c r="E18" s="2" t="n"/>
      <c r="F18" s="5" t="n"/>
      <c r="G18" s="2" t="n"/>
      <c r="H18" s="2" t="n"/>
      <c r="I18" s="5" t="n"/>
      <c r="J18" s="2" t="n"/>
      <c r="K18" s="2" t="n"/>
      <c r="L18" s="2" t="n"/>
      <c r="M18" s="2" t="n"/>
      <c r="N18" s="6" t="n"/>
      <c r="O18" s="6" t="n"/>
      <c r="P18" s="36" t="n"/>
      <c r="Q18" s="36" t="n"/>
      <c r="R18" s="37">
        <f>IF(AND(P18="",Q18=""),"",SUM(P18:Q18))</f>
        <v/>
      </c>
      <c r="S18" s="35" t="n"/>
      <c r="T18" s="9">
        <f>IF(S18="","",S18-TODAY())</f>
        <v/>
      </c>
      <c r="U18" s="10">
        <f>IF(A18="","",IF(M18="Terminée","Clôturée",IF(S18="","",IF(S18&lt;TODAY(),"En retard",IF(S18-TODAY()&lt;=30,"À planifier","À jour")))))</f>
        <v/>
      </c>
      <c r="V18" s="5" t="n"/>
    </row>
    <row r="19" ht="34" customHeight="1">
      <c r="A19" s="2" t="n"/>
      <c r="B19" s="35" t="n"/>
      <c r="C19" s="35" t="n"/>
      <c r="D19" s="11">
        <f>IF(E19="","",IFERROR(VLOOKUP(E19,'Référentiel'!$A$3:$B$11,2,FALSE),""))</f>
        <v/>
      </c>
      <c r="E19" s="2" t="n"/>
      <c r="F19" s="5" t="n"/>
      <c r="G19" s="2" t="n"/>
      <c r="H19" s="2" t="n"/>
      <c r="I19" s="5" t="n"/>
      <c r="J19" s="2" t="n"/>
      <c r="K19" s="2" t="n"/>
      <c r="L19" s="2" t="n"/>
      <c r="M19" s="2" t="n"/>
      <c r="N19" s="6" t="n"/>
      <c r="O19" s="6" t="n"/>
      <c r="P19" s="36" t="n"/>
      <c r="Q19" s="36" t="n"/>
      <c r="R19" s="38">
        <f>IF(AND(P19="",Q19=""),"",SUM(P19:Q19))</f>
        <v/>
      </c>
      <c r="S19" s="35" t="n"/>
      <c r="T19" s="13">
        <f>IF(S19="","",S19-TODAY())</f>
        <v/>
      </c>
      <c r="U19" s="14">
        <f>IF(A19="","",IF(M19="Terminée","Clôturée",IF(S19="","",IF(S19&lt;TODAY(),"En retard",IF(S19-TODAY()&lt;=30,"À planifier","À jour")))))</f>
        <v/>
      </c>
      <c r="V19" s="5" t="n"/>
    </row>
    <row r="20" ht="34" customHeight="1">
      <c r="A20" s="2" t="n"/>
      <c r="B20" s="35" t="n"/>
      <c r="C20" s="35" t="n"/>
      <c r="D20" s="4">
        <f>IF(E20="","",IFERROR(VLOOKUP(E20,'Référentiel'!$A$3:$B$11,2,FALSE),""))</f>
        <v/>
      </c>
      <c r="E20" s="2" t="n"/>
      <c r="F20" s="5" t="n"/>
      <c r="G20" s="2" t="n"/>
      <c r="H20" s="2" t="n"/>
      <c r="I20" s="5" t="n"/>
      <c r="J20" s="2" t="n"/>
      <c r="K20" s="2" t="n"/>
      <c r="L20" s="2" t="n"/>
      <c r="M20" s="2" t="n"/>
      <c r="N20" s="6" t="n"/>
      <c r="O20" s="6" t="n"/>
      <c r="P20" s="36" t="n"/>
      <c r="Q20" s="36" t="n"/>
      <c r="R20" s="37">
        <f>IF(AND(P20="",Q20=""),"",SUM(P20:Q20))</f>
        <v/>
      </c>
      <c r="S20" s="35" t="n"/>
      <c r="T20" s="9">
        <f>IF(S20="","",S20-TODAY())</f>
        <v/>
      </c>
      <c r="U20" s="10">
        <f>IF(A20="","",IF(M20="Terminée","Clôturée",IF(S20="","",IF(S20&lt;TODAY(),"En retard",IF(S20-TODAY()&lt;=30,"À planifier","À jour")))))</f>
        <v/>
      </c>
      <c r="V20" s="5" t="n"/>
    </row>
    <row r="21" ht="34" customHeight="1">
      <c r="A21" s="2" t="n"/>
      <c r="B21" s="35" t="n"/>
      <c r="C21" s="35" t="n"/>
      <c r="D21" s="11">
        <f>IF(E21="","",IFERROR(VLOOKUP(E21,'Référentiel'!$A$3:$B$11,2,FALSE),""))</f>
        <v/>
      </c>
      <c r="E21" s="2" t="n"/>
      <c r="F21" s="5" t="n"/>
      <c r="G21" s="2" t="n"/>
      <c r="H21" s="2" t="n"/>
      <c r="I21" s="5" t="n"/>
      <c r="J21" s="2" t="n"/>
      <c r="K21" s="2" t="n"/>
      <c r="L21" s="2" t="n"/>
      <c r="M21" s="2" t="n"/>
      <c r="N21" s="6" t="n"/>
      <c r="O21" s="6" t="n"/>
      <c r="P21" s="36" t="n"/>
      <c r="Q21" s="36" t="n"/>
      <c r="R21" s="38">
        <f>IF(AND(P21="",Q21=""),"",SUM(P21:Q21))</f>
        <v/>
      </c>
      <c r="S21" s="35" t="n"/>
      <c r="T21" s="13">
        <f>IF(S21="","",S21-TODAY())</f>
        <v/>
      </c>
      <c r="U21" s="14">
        <f>IF(A21="","",IF(M21="Terminée","Clôturée",IF(S21="","",IF(S21&lt;TODAY(),"En retard",IF(S21-TODAY()&lt;=30,"À planifier","À jour")))))</f>
        <v/>
      </c>
      <c r="V21" s="5" t="n"/>
    </row>
    <row r="22" ht="34" customHeight="1">
      <c r="A22" s="2" t="n"/>
      <c r="B22" s="35" t="n"/>
      <c r="C22" s="35" t="n"/>
      <c r="D22" s="4">
        <f>IF(E22="","",IFERROR(VLOOKUP(E22,'Référentiel'!$A$3:$B$11,2,FALSE),""))</f>
        <v/>
      </c>
      <c r="E22" s="2" t="n"/>
      <c r="F22" s="5" t="n"/>
      <c r="G22" s="2" t="n"/>
      <c r="H22" s="2" t="n"/>
      <c r="I22" s="5" t="n"/>
      <c r="J22" s="2" t="n"/>
      <c r="K22" s="2" t="n"/>
      <c r="L22" s="2" t="n"/>
      <c r="M22" s="2" t="n"/>
      <c r="N22" s="6" t="n"/>
      <c r="O22" s="6" t="n"/>
      <c r="P22" s="36" t="n"/>
      <c r="Q22" s="36" t="n"/>
      <c r="R22" s="37">
        <f>IF(AND(P22="",Q22=""),"",SUM(P22:Q22))</f>
        <v/>
      </c>
      <c r="S22" s="35" t="n"/>
      <c r="T22" s="9">
        <f>IF(S22="","",S22-TODAY())</f>
        <v/>
      </c>
      <c r="U22" s="10">
        <f>IF(A22="","",IF(M22="Terminée","Clôturée",IF(S22="","",IF(S22&lt;TODAY(),"En retard",IF(S22-TODAY()&lt;=30,"À planifier","À jour")))))</f>
        <v/>
      </c>
      <c r="V22" s="5" t="n"/>
    </row>
    <row r="23" ht="34" customHeight="1">
      <c r="A23" s="2" t="n"/>
      <c r="B23" s="35" t="n"/>
      <c r="C23" s="35" t="n"/>
      <c r="D23" s="11">
        <f>IF(E23="","",IFERROR(VLOOKUP(E23,'Référentiel'!$A$3:$B$11,2,FALSE),""))</f>
        <v/>
      </c>
      <c r="E23" s="2" t="n"/>
      <c r="F23" s="5" t="n"/>
      <c r="G23" s="2" t="n"/>
      <c r="H23" s="2" t="n"/>
      <c r="I23" s="5" t="n"/>
      <c r="J23" s="2" t="n"/>
      <c r="K23" s="2" t="n"/>
      <c r="L23" s="2" t="n"/>
      <c r="M23" s="2" t="n"/>
      <c r="N23" s="6" t="n"/>
      <c r="O23" s="6" t="n"/>
      <c r="P23" s="36" t="n"/>
      <c r="Q23" s="36" t="n"/>
      <c r="R23" s="38">
        <f>IF(AND(P23="",Q23=""),"",SUM(P23:Q23))</f>
        <v/>
      </c>
      <c r="S23" s="35" t="n"/>
      <c r="T23" s="13">
        <f>IF(S23="","",S23-TODAY())</f>
        <v/>
      </c>
      <c r="U23" s="14">
        <f>IF(A23="","",IF(M23="Terminée","Clôturée",IF(S23="","",IF(S23&lt;TODAY(),"En retard",IF(S23-TODAY()&lt;=30,"À planifier","À jour")))))</f>
        <v/>
      </c>
      <c r="V23" s="5" t="n"/>
    </row>
    <row r="24" ht="34" customHeight="1">
      <c r="A24" s="2" t="n"/>
      <c r="B24" s="35" t="n"/>
      <c r="C24" s="35" t="n"/>
      <c r="D24" s="4">
        <f>IF(E24="","",IFERROR(VLOOKUP(E24,'Référentiel'!$A$3:$B$11,2,FALSE),""))</f>
        <v/>
      </c>
      <c r="E24" s="2" t="n"/>
      <c r="F24" s="5" t="n"/>
      <c r="G24" s="2" t="n"/>
      <c r="H24" s="2" t="n"/>
      <c r="I24" s="5" t="n"/>
      <c r="J24" s="2" t="n"/>
      <c r="K24" s="2" t="n"/>
      <c r="L24" s="2" t="n"/>
      <c r="M24" s="2" t="n"/>
      <c r="N24" s="6" t="n"/>
      <c r="O24" s="6" t="n"/>
      <c r="P24" s="36" t="n"/>
      <c r="Q24" s="36" t="n"/>
      <c r="R24" s="37">
        <f>IF(AND(P24="",Q24=""),"",SUM(P24:Q24))</f>
        <v/>
      </c>
      <c r="S24" s="35" t="n"/>
      <c r="T24" s="9">
        <f>IF(S24="","",S24-TODAY())</f>
        <v/>
      </c>
      <c r="U24" s="10">
        <f>IF(A24="","",IF(M24="Terminée","Clôturée",IF(S24="","",IF(S24&lt;TODAY(),"En retard",IF(S24-TODAY()&lt;=30,"À planifier","À jour")))))</f>
        <v/>
      </c>
      <c r="V24" s="5" t="n"/>
    </row>
    <row r="25" ht="34" customHeight="1">
      <c r="A25" s="2" t="n"/>
      <c r="B25" s="35" t="n"/>
      <c r="C25" s="35" t="n"/>
      <c r="D25" s="11">
        <f>IF(E25="","",IFERROR(VLOOKUP(E25,'Référentiel'!$A$3:$B$11,2,FALSE),""))</f>
        <v/>
      </c>
      <c r="E25" s="2" t="n"/>
      <c r="F25" s="5" t="n"/>
      <c r="G25" s="2" t="n"/>
      <c r="H25" s="2" t="n"/>
      <c r="I25" s="5" t="n"/>
      <c r="J25" s="2" t="n"/>
      <c r="K25" s="2" t="n"/>
      <c r="L25" s="2" t="n"/>
      <c r="M25" s="2" t="n"/>
      <c r="N25" s="6" t="n"/>
      <c r="O25" s="6" t="n"/>
      <c r="P25" s="36" t="n"/>
      <c r="Q25" s="36" t="n"/>
      <c r="R25" s="38">
        <f>IF(AND(P25="",Q25=""),"",SUM(P25:Q25))</f>
        <v/>
      </c>
      <c r="S25" s="35" t="n"/>
      <c r="T25" s="13">
        <f>IF(S25="","",S25-TODAY())</f>
        <v/>
      </c>
      <c r="U25" s="14">
        <f>IF(A25="","",IF(M25="Terminée","Clôturée",IF(S25="","",IF(S25&lt;TODAY(),"En retard",IF(S25-TODAY()&lt;=30,"À planifier","À jour")))))</f>
        <v/>
      </c>
      <c r="V25" s="5" t="n"/>
    </row>
    <row r="26" ht="34" customHeight="1">
      <c r="A26" s="2" t="n"/>
      <c r="B26" s="35" t="n"/>
      <c r="C26" s="35" t="n"/>
      <c r="D26" s="4">
        <f>IF(E26="","",IFERROR(VLOOKUP(E26,'Référentiel'!$A$3:$B$11,2,FALSE),""))</f>
        <v/>
      </c>
      <c r="E26" s="2" t="n"/>
      <c r="F26" s="5" t="n"/>
      <c r="G26" s="2" t="n"/>
      <c r="H26" s="2" t="n"/>
      <c r="I26" s="5" t="n"/>
      <c r="J26" s="2" t="n"/>
      <c r="K26" s="2" t="n"/>
      <c r="L26" s="2" t="n"/>
      <c r="M26" s="2" t="n"/>
      <c r="N26" s="6" t="n"/>
      <c r="O26" s="6" t="n"/>
      <c r="P26" s="36" t="n"/>
      <c r="Q26" s="36" t="n"/>
      <c r="R26" s="37">
        <f>IF(AND(P26="",Q26=""),"",SUM(P26:Q26))</f>
        <v/>
      </c>
      <c r="S26" s="35" t="n"/>
      <c r="T26" s="9">
        <f>IF(S26="","",S26-TODAY())</f>
        <v/>
      </c>
      <c r="U26" s="10">
        <f>IF(A26="","",IF(M26="Terminée","Clôturée",IF(S26="","",IF(S26&lt;TODAY(),"En retard",IF(S26-TODAY()&lt;=30,"À planifier","À jour")))))</f>
        <v/>
      </c>
      <c r="V26" s="5" t="n"/>
    </row>
    <row r="27" ht="34" customHeight="1">
      <c r="A27" s="2" t="n"/>
      <c r="B27" s="35" t="n"/>
      <c r="C27" s="35" t="n"/>
      <c r="D27" s="11">
        <f>IF(E27="","",IFERROR(VLOOKUP(E27,'Référentiel'!$A$3:$B$11,2,FALSE),""))</f>
        <v/>
      </c>
      <c r="E27" s="2" t="n"/>
      <c r="F27" s="5" t="n"/>
      <c r="G27" s="2" t="n"/>
      <c r="H27" s="2" t="n"/>
      <c r="I27" s="5" t="n"/>
      <c r="J27" s="2" t="n"/>
      <c r="K27" s="2" t="n"/>
      <c r="L27" s="2" t="n"/>
      <c r="M27" s="2" t="n"/>
      <c r="N27" s="6" t="n"/>
      <c r="O27" s="6" t="n"/>
      <c r="P27" s="36" t="n"/>
      <c r="Q27" s="36" t="n"/>
      <c r="R27" s="38">
        <f>IF(AND(P27="",Q27=""),"",SUM(P27:Q27))</f>
        <v/>
      </c>
      <c r="S27" s="35" t="n"/>
      <c r="T27" s="13">
        <f>IF(S27="","",S27-TODAY())</f>
        <v/>
      </c>
      <c r="U27" s="14">
        <f>IF(A27="","",IF(M27="Terminée","Clôturée",IF(S27="","",IF(S27&lt;TODAY(),"En retard",IF(S27-TODAY()&lt;=30,"À planifier","À jour")))))</f>
        <v/>
      </c>
      <c r="V27" s="5" t="n"/>
    </row>
    <row r="28" ht="34" customHeight="1">
      <c r="A28" s="2" t="n"/>
      <c r="B28" s="35" t="n"/>
      <c r="C28" s="35" t="n"/>
      <c r="D28" s="4">
        <f>IF(E28="","",IFERROR(VLOOKUP(E28,'Référentiel'!$A$3:$B$11,2,FALSE),""))</f>
        <v/>
      </c>
      <c r="E28" s="2" t="n"/>
      <c r="F28" s="5" t="n"/>
      <c r="G28" s="2" t="n"/>
      <c r="H28" s="2" t="n"/>
      <c r="I28" s="5" t="n"/>
      <c r="J28" s="2" t="n"/>
      <c r="K28" s="2" t="n"/>
      <c r="L28" s="2" t="n"/>
      <c r="M28" s="2" t="n"/>
      <c r="N28" s="6" t="n"/>
      <c r="O28" s="6" t="n"/>
      <c r="P28" s="36" t="n"/>
      <c r="Q28" s="36" t="n"/>
      <c r="R28" s="37">
        <f>IF(AND(P28="",Q28=""),"",SUM(P28:Q28))</f>
        <v/>
      </c>
      <c r="S28" s="35" t="n"/>
      <c r="T28" s="9">
        <f>IF(S28="","",S28-TODAY())</f>
        <v/>
      </c>
      <c r="U28" s="10">
        <f>IF(A28="","",IF(M28="Terminée","Clôturée",IF(S28="","",IF(S28&lt;TODAY(),"En retard",IF(S28-TODAY()&lt;=30,"À planifier","À jour")))))</f>
        <v/>
      </c>
      <c r="V28" s="5" t="n"/>
    </row>
    <row r="29" ht="34" customHeight="1">
      <c r="A29" s="2" t="n"/>
      <c r="B29" s="35" t="n"/>
      <c r="C29" s="35" t="n"/>
      <c r="D29" s="11">
        <f>IF(E29="","",IFERROR(VLOOKUP(E29,'Référentiel'!$A$3:$B$11,2,FALSE),""))</f>
        <v/>
      </c>
      <c r="E29" s="2" t="n"/>
      <c r="F29" s="5" t="n"/>
      <c r="G29" s="2" t="n"/>
      <c r="H29" s="2" t="n"/>
      <c r="I29" s="5" t="n"/>
      <c r="J29" s="2" t="n"/>
      <c r="K29" s="2" t="n"/>
      <c r="L29" s="2" t="n"/>
      <c r="M29" s="2" t="n"/>
      <c r="N29" s="6" t="n"/>
      <c r="O29" s="6" t="n"/>
      <c r="P29" s="36" t="n"/>
      <c r="Q29" s="36" t="n"/>
      <c r="R29" s="38">
        <f>IF(AND(P29="",Q29=""),"",SUM(P29:Q29))</f>
        <v/>
      </c>
      <c r="S29" s="35" t="n"/>
      <c r="T29" s="13">
        <f>IF(S29="","",S29-TODAY())</f>
        <v/>
      </c>
      <c r="U29" s="14">
        <f>IF(A29="","",IF(M29="Terminée","Clôturée",IF(S29="","",IF(S29&lt;TODAY(),"En retard",IF(S29-TODAY()&lt;=30,"À planifier","À jour")))))</f>
        <v/>
      </c>
      <c r="V29" s="5" t="n"/>
    </row>
    <row r="30" ht="34" customHeight="1">
      <c r="A30" s="2" t="n"/>
      <c r="B30" s="35" t="n"/>
      <c r="C30" s="35" t="n"/>
      <c r="D30" s="4">
        <f>IF(E30="","",IFERROR(VLOOKUP(E30,'Référentiel'!$A$3:$B$11,2,FALSE),""))</f>
        <v/>
      </c>
      <c r="E30" s="2" t="n"/>
      <c r="F30" s="5" t="n"/>
      <c r="G30" s="2" t="n"/>
      <c r="H30" s="2" t="n"/>
      <c r="I30" s="5" t="n"/>
      <c r="J30" s="2" t="n"/>
      <c r="K30" s="2" t="n"/>
      <c r="L30" s="2" t="n"/>
      <c r="M30" s="2" t="n"/>
      <c r="N30" s="6" t="n"/>
      <c r="O30" s="6" t="n"/>
      <c r="P30" s="36" t="n"/>
      <c r="Q30" s="36" t="n"/>
      <c r="R30" s="37">
        <f>IF(AND(P30="",Q30=""),"",SUM(P30:Q30))</f>
        <v/>
      </c>
      <c r="S30" s="35" t="n"/>
      <c r="T30" s="9">
        <f>IF(S30="","",S30-TODAY())</f>
        <v/>
      </c>
      <c r="U30" s="10">
        <f>IF(A30="","",IF(M30="Terminée","Clôturée",IF(S30="","",IF(S30&lt;TODAY(),"En retard",IF(S30-TODAY()&lt;=30,"À planifier","À jour")))))</f>
        <v/>
      </c>
      <c r="V30" s="5" t="n"/>
    </row>
    <row r="31" ht="34" customHeight="1">
      <c r="A31" s="2" t="n"/>
      <c r="B31" s="35" t="n"/>
      <c r="C31" s="35" t="n"/>
      <c r="D31" s="11">
        <f>IF(E31="","",IFERROR(VLOOKUP(E31,'Référentiel'!$A$3:$B$11,2,FALSE),""))</f>
        <v/>
      </c>
      <c r="E31" s="2" t="n"/>
      <c r="F31" s="5" t="n"/>
      <c r="G31" s="2" t="n"/>
      <c r="H31" s="2" t="n"/>
      <c r="I31" s="5" t="n"/>
      <c r="J31" s="2" t="n"/>
      <c r="K31" s="2" t="n"/>
      <c r="L31" s="2" t="n"/>
      <c r="M31" s="2" t="n"/>
      <c r="N31" s="6" t="n"/>
      <c r="O31" s="6" t="n"/>
      <c r="P31" s="36" t="n"/>
      <c r="Q31" s="36" t="n"/>
      <c r="R31" s="38">
        <f>IF(AND(P31="",Q31=""),"",SUM(P31:Q31))</f>
        <v/>
      </c>
      <c r="S31" s="35" t="n"/>
      <c r="T31" s="13">
        <f>IF(S31="","",S31-TODAY())</f>
        <v/>
      </c>
      <c r="U31" s="14">
        <f>IF(A31="","",IF(M31="Terminée","Clôturée",IF(S31="","",IF(S31&lt;TODAY(),"En retard",IF(S31-TODAY()&lt;=30,"À planifier","À jour")))))</f>
        <v/>
      </c>
      <c r="V31" s="5" t="n"/>
    </row>
    <row r="32" ht="34" customHeight="1">
      <c r="A32" s="2" t="n"/>
      <c r="B32" s="35" t="n"/>
      <c r="C32" s="35" t="n"/>
      <c r="D32" s="4">
        <f>IF(E32="","",IFERROR(VLOOKUP(E32,'Référentiel'!$A$3:$B$11,2,FALSE),""))</f>
        <v/>
      </c>
      <c r="E32" s="2" t="n"/>
      <c r="F32" s="5" t="n"/>
      <c r="G32" s="2" t="n"/>
      <c r="H32" s="2" t="n"/>
      <c r="I32" s="5" t="n"/>
      <c r="J32" s="2" t="n"/>
      <c r="K32" s="2" t="n"/>
      <c r="L32" s="2" t="n"/>
      <c r="M32" s="2" t="n"/>
      <c r="N32" s="6" t="n"/>
      <c r="O32" s="6" t="n"/>
      <c r="P32" s="36" t="n"/>
      <c r="Q32" s="36" t="n"/>
      <c r="R32" s="37">
        <f>IF(AND(P32="",Q32=""),"",SUM(P32:Q32))</f>
        <v/>
      </c>
      <c r="S32" s="35" t="n"/>
      <c r="T32" s="9">
        <f>IF(S32="","",S32-TODAY())</f>
        <v/>
      </c>
      <c r="U32" s="10">
        <f>IF(A32="","",IF(M32="Terminée","Clôturée",IF(S32="","",IF(S32&lt;TODAY(),"En retard",IF(S32-TODAY()&lt;=30,"À planifier","À jour")))))</f>
        <v/>
      </c>
      <c r="V32" s="5" t="n"/>
    </row>
    <row r="33" ht="34" customHeight="1">
      <c r="A33" s="2" t="n"/>
      <c r="B33" s="35" t="n"/>
      <c r="C33" s="35" t="n"/>
      <c r="D33" s="11">
        <f>IF(E33="","",IFERROR(VLOOKUP(E33,'Référentiel'!$A$3:$B$11,2,FALSE),""))</f>
        <v/>
      </c>
      <c r="E33" s="2" t="n"/>
      <c r="F33" s="5" t="n"/>
      <c r="G33" s="2" t="n"/>
      <c r="H33" s="2" t="n"/>
      <c r="I33" s="5" t="n"/>
      <c r="J33" s="2" t="n"/>
      <c r="K33" s="2" t="n"/>
      <c r="L33" s="2" t="n"/>
      <c r="M33" s="2" t="n"/>
      <c r="N33" s="6" t="n"/>
      <c r="O33" s="6" t="n"/>
      <c r="P33" s="36" t="n"/>
      <c r="Q33" s="36" t="n"/>
      <c r="R33" s="38">
        <f>IF(AND(P33="",Q33=""),"",SUM(P33:Q33))</f>
        <v/>
      </c>
      <c r="S33" s="35" t="n"/>
      <c r="T33" s="13">
        <f>IF(S33="","",S33-TODAY())</f>
        <v/>
      </c>
      <c r="U33" s="14">
        <f>IF(A33="","",IF(M33="Terminée","Clôturée",IF(S33="","",IF(S33&lt;TODAY(),"En retard",IF(S33-TODAY()&lt;=30,"À planifier","À jour")))))</f>
        <v/>
      </c>
      <c r="V33" s="5" t="n"/>
    </row>
    <row r="34" ht="34" customHeight="1">
      <c r="A34" s="2" t="n"/>
      <c r="B34" s="35" t="n"/>
      <c r="C34" s="35" t="n"/>
      <c r="D34" s="4">
        <f>IF(E34="","",IFERROR(VLOOKUP(E34,'Référentiel'!$A$3:$B$11,2,FALSE),""))</f>
        <v/>
      </c>
      <c r="E34" s="2" t="n"/>
      <c r="F34" s="5" t="n"/>
      <c r="G34" s="2" t="n"/>
      <c r="H34" s="2" t="n"/>
      <c r="I34" s="5" t="n"/>
      <c r="J34" s="2" t="n"/>
      <c r="K34" s="2" t="n"/>
      <c r="L34" s="2" t="n"/>
      <c r="M34" s="2" t="n"/>
      <c r="N34" s="6" t="n"/>
      <c r="O34" s="6" t="n"/>
      <c r="P34" s="36" t="n"/>
      <c r="Q34" s="36" t="n"/>
      <c r="R34" s="37">
        <f>IF(AND(P34="",Q34=""),"",SUM(P34:Q34))</f>
        <v/>
      </c>
      <c r="S34" s="35" t="n"/>
      <c r="T34" s="9">
        <f>IF(S34="","",S34-TODAY())</f>
        <v/>
      </c>
      <c r="U34" s="10">
        <f>IF(A34="","",IF(M34="Terminée","Clôturée",IF(S34="","",IF(S34&lt;TODAY(),"En retard",IF(S34-TODAY()&lt;=30,"À planifier","À jour")))))</f>
        <v/>
      </c>
      <c r="V34" s="5" t="n"/>
    </row>
    <row r="35" ht="34" customHeight="1">
      <c r="A35" s="2" t="n"/>
      <c r="B35" s="35" t="n"/>
      <c r="C35" s="35" t="n"/>
      <c r="D35" s="11">
        <f>IF(E35="","",IFERROR(VLOOKUP(E35,'Référentiel'!$A$3:$B$11,2,FALSE),""))</f>
        <v/>
      </c>
      <c r="E35" s="2" t="n"/>
      <c r="F35" s="5" t="n"/>
      <c r="G35" s="2" t="n"/>
      <c r="H35" s="2" t="n"/>
      <c r="I35" s="5" t="n"/>
      <c r="J35" s="2" t="n"/>
      <c r="K35" s="2" t="n"/>
      <c r="L35" s="2" t="n"/>
      <c r="M35" s="2" t="n"/>
      <c r="N35" s="6" t="n"/>
      <c r="O35" s="6" t="n"/>
      <c r="P35" s="36" t="n"/>
      <c r="Q35" s="36" t="n"/>
      <c r="R35" s="38">
        <f>IF(AND(P35="",Q35=""),"",SUM(P35:Q35))</f>
        <v/>
      </c>
      <c r="S35" s="35" t="n"/>
      <c r="T35" s="13">
        <f>IF(S35="","",S35-TODAY())</f>
        <v/>
      </c>
      <c r="U35" s="14">
        <f>IF(A35="","",IF(M35="Terminée","Clôturée",IF(S35="","",IF(S35&lt;TODAY(),"En retard",IF(S35-TODAY()&lt;=30,"À planifier","À jour")))))</f>
        <v/>
      </c>
      <c r="V35" s="5" t="n"/>
    </row>
    <row r="36" ht="34" customHeight="1">
      <c r="A36" s="2" t="n"/>
      <c r="B36" s="35" t="n"/>
      <c r="C36" s="35" t="n"/>
      <c r="D36" s="4">
        <f>IF(E36="","",IFERROR(VLOOKUP(E36,'Référentiel'!$A$3:$B$11,2,FALSE),""))</f>
        <v/>
      </c>
      <c r="E36" s="2" t="n"/>
      <c r="F36" s="5" t="n"/>
      <c r="G36" s="2" t="n"/>
      <c r="H36" s="2" t="n"/>
      <c r="I36" s="5" t="n"/>
      <c r="J36" s="2" t="n"/>
      <c r="K36" s="2" t="n"/>
      <c r="L36" s="2" t="n"/>
      <c r="M36" s="2" t="n"/>
      <c r="N36" s="6" t="n"/>
      <c r="O36" s="6" t="n"/>
      <c r="P36" s="36" t="n"/>
      <c r="Q36" s="36" t="n"/>
      <c r="R36" s="37">
        <f>IF(AND(P36="",Q36=""),"",SUM(P36:Q36))</f>
        <v/>
      </c>
      <c r="S36" s="35" t="n"/>
      <c r="T36" s="9">
        <f>IF(S36="","",S36-TODAY())</f>
        <v/>
      </c>
      <c r="U36" s="10">
        <f>IF(A36="","",IF(M36="Terminée","Clôturée",IF(S36="","",IF(S36&lt;TODAY(),"En retard",IF(S36-TODAY()&lt;=30,"À planifier","À jour")))))</f>
        <v/>
      </c>
      <c r="V36" s="5" t="n"/>
    </row>
    <row r="37" ht="34" customHeight="1">
      <c r="A37" s="2" t="n"/>
      <c r="B37" s="35" t="n"/>
      <c r="C37" s="35" t="n"/>
      <c r="D37" s="11">
        <f>IF(E37="","",IFERROR(VLOOKUP(E37,'Référentiel'!$A$3:$B$11,2,FALSE),""))</f>
        <v/>
      </c>
      <c r="E37" s="2" t="n"/>
      <c r="F37" s="5" t="n"/>
      <c r="G37" s="2" t="n"/>
      <c r="H37" s="2" t="n"/>
      <c r="I37" s="5" t="n"/>
      <c r="J37" s="2" t="n"/>
      <c r="K37" s="2" t="n"/>
      <c r="L37" s="2" t="n"/>
      <c r="M37" s="2" t="n"/>
      <c r="N37" s="6" t="n"/>
      <c r="O37" s="6" t="n"/>
      <c r="P37" s="36" t="n"/>
      <c r="Q37" s="36" t="n"/>
      <c r="R37" s="38">
        <f>IF(AND(P37="",Q37=""),"",SUM(P37:Q37))</f>
        <v/>
      </c>
      <c r="S37" s="35" t="n"/>
      <c r="T37" s="13">
        <f>IF(S37="","",S37-TODAY())</f>
        <v/>
      </c>
      <c r="U37" s="14">
        <f>IF(A37="","",IF(M37="Terminée","Clôturée",IF(S37="","",IF(S37&lt;TODAY(),"En retard",IF(S37-TODAY()&lt;=30,"À planifier","À jour")))))</f>
        <v/>
      </c>
      <c r="V37" s="5" t="n"/>
    </row>
    <row r="38" ht="34" customHeight="1">
      <c r="A38" s="2" t="n"/>
      <c r="B38" s="35" t="n"/>
      <c r="C38" s="35" t="n"/>
      <c r="D38" s="4">
        <f>IF(E38="","",IFERROR(VLOOKUP(E38,'Référentiel'!$A$3:$B$11,2,FALSE),""))</f>
        <v/>
      </c>
      <c r="E38" s="2" t="n"/>
      <c r="F38" s="5" t="n"/>
      <c r="G38" s="2" t="n"/>
      <c r="H38" s="2" t="n"/>
      <c r="I38" s="5" t="n"/>
      <c r="J38" s="2" t="n"/>
      <c r="K38" s="2" t="n"/>
      <c r="L38" s="2" t="n"/>
      <c r="M38" s="2" t="n"/>
      <c r="N38" s="6" t="n"/>
      <c r="O38" s="6" t="n"/>
      <c r="P38" s="36" t="n"/>
      <c r="Q38" s="36" t="n"/>
      <c r="R38" s="37">
        <f>IF(AND(P38="",Q38=""),"",SUM(P38:Q38))</f>
        <v/>
      </c>
      <c r="S38" s="35" t="n"/>
      <c r="T38" s="9">
        <f>IF(S38="","",S38-TODAY())</f>
        <v/>
      </c>
      <c r="U38" s="10">
        <f>IF(A38="","",IF(M38="Terminée","Clôturée",IF(S38="","",IF(S38&lt;TODAY(),"En retard",IF(S38-TODAY()&lt;=30,"À planifier","À jour")))))</f>
        <v/>
      </c>
      <c r="V38" s="5" t="n"/>
    </row>
    <row r="39" ht="34" customHeight="1">
      <c r="A39" s="2" t="n"/>
      <c r="B39" s="35" t="n"/>
      <c r="C39" s="35" t="n"/>
      <c r="D39" s="11">
        <f>IF(E39="","",IFERROR(VLOOKUP(E39,'Référentiel'!$A$3:$B$11,2,FALSE),""))</f>
        <v/>
      </c>
      <c r="E39" s="2" t="n"/>
      <c r="F39" s="5" t="n"/>
      <c r="G39" s="2" t="n"/>
      <c r="H39" s="2" t="n"/>
      <c r="I39" s="5" t="n"/>
      <c r="J39" s="2" t="n"/>
      <c r="K39" s="2" t="n"/>
      <c r="L39" s="2" t="n"/>
      <c r="M39" s="2" t="n"/>
      <c r="N39" s="6" t="n"/>
      <c r="O39" s="6" t="n"/>
      <c r="P39" s="36" t="n"/>
      <c r="Q39" s="36" t="n"/>
      <c r="R39" s="38">
        <f>IF(AND(P39="",Q39=""),"",SUM(P39:Q39))</f>
        <v/>
      </c>
      <c r="S39" s="35" t="n"/>
      <c r="T39" s="13">
        <f>IF(S39="","",S39-TODAY())</f>
        <v/>
      </c>
      <c r="U39" s="14">
        <f>IF(A39="","",IF(M39="Terminée","Clôturée",IF(S39="","",IF(S39&lt;TODAY(),"En retard",IF(S39-TODAY()&lt;=30,"À planifier","À jour")))))</f>
        <v/>
      </c>
      <c r="V39" s="5" t="n"/>
    </row>
    <row r="40" ht="34" customHeight="1">
      <c r="A40" s="2" t="n"/>
      <c r="B40" s="35" t="n"/>
      <c r="C40" s="35" t="n"/>
      <c r="D40" s="4">
        <f>IF(E40="","",IFERROR(VLOOKUP(E40,'Référentiel'!$A$3:$B$11,2,FALSE),""))</f>
        <v/>
      </c>
      <c r="E40" s="2" t="n"/>
      <c r="F40" s="5" t="n"/>
      <c r="G40" s="2" t="n"/>
      <c r="H40" s="2" t="n"/>
      <c r="I40" s="5" t="n"/>
      <c r="J40" s="2" t="n"/>
      <c r="K40" s="2" t="n"/>
      <c r="L40" s="2" t="n"/>
      <c r="M40" s="2" t="n"/>
      <c r="N40" s="6" t="n"/>
      <c r="O40" s="6" t="n"/>
      <c r="P40" s="36" t="n"/>
      <c r="Q40" s="36" t="n"/>
      <c r="R40" s="37">
        <f>IF(AND(P40="",Q40=""),"",SUM(P40:Q40))</f>
        <v/>
      </c>
      <c r="S40" s="35" t="n"/>
      <c r="T40" s="9">
        <f>IF(S40="","",S40-TODAY())</f>
        <v/>
      </c>
      <c r="U40" s="10">
        <f>IF(A40="","",IF(M40="Terminée","Clôturée",IF(S40="","",IF(S40&lt;TODAY(),"En retard",IF(S40-TODAY()&lt;=30,"À planifier","À jour")))))</f>
        <v/>
      </c>
      <c r="V40" s="5" t="n"/>
    </row>
    <row r="41" ht="34" customHeight="1">
      <c r="A41" s="2" t="n"/>
      <c r="B41" s="35" t="n"/>
      <c r="C41" s="35" t="n"/>
      <c r="D41" s="11">
        <f>IF(E41="","",IFERROR(VLOOKUP(E41,'Référentiel'!$A$3:$B$11,2,FALSE),""))</f>
        <v/>
      </c>
      <c r="E41" s="2" t="n"/>
      <c r="F41" s="5" t="n"/>
      <c r="G41" s="2" t="n"/>
      <c r="H41" s="2" t="n"/>
      <c r="I41" s="5" t="n"/>
      <c r="J41" s="2" t="n"/>
      <c r="K41" s="2" t="n"/>
      <c r="L41" s="2" t="n"/>
      <c r="M41" s="2" t="n"/>
      <c r="N41" s="6" t="n"/>
      <c r="O41" s="6" t="n"/>
      <c r="P41" s="36" t="n"/>
      <c r="Q41" s="36" t="n"/>
      <c r="R41" s="38">
        <f>IF(AND(P41="",Q41=""),"",SUM(P41:Q41))</f>
        <v/>
      </c>
      <c r="S41" s="35" t="n"/>
      <c r="T41" s="13">
        <f>IF(S41="","",S41-TODAY())</f>
        <v/>
      </c>
      <c r="U41" s="14">
        <f>IF(A41="","",IF(M41="Terminée","Clôturée",IF(S41="","",IF(S41&lt;TODAY(),"En retard",IF(S41-TODAY()&lt;=30,"À planifier","À jour")))))</f>
        <v/>
      </c>
      <c r="V41" s="5" t="n"/>
    </row>
    <row r="42" ht="34" customHeight="1">
      <c r="A42" s="2" t="n"/>
      <c r="B42" s="35" t="n"/>
      <c r="C42" s="35" t="n"/>
      <c r="D42" s="4">
        <f>IF(E42="","",IFERROR(VLOOKUP(E42,'Référentiel'!$A$3:$B$11,2,FALSE),""))</f>
        <v/>
      </c>
      <c r="E42" s="2" t="n"/>
      <c r="F42" s="5" t="n"/>
      <c r="G42" s="2" t="n"/>
      <c r="H42" s="2" t="n"/>
      <c r="I42" s="5" t="n"/>
      <c r="J42" s="2" t="n"/>
      <c r="K42" s="2" t="n"/>
      <c r="L42" s="2" t="n"/>
      <c r="M42" s="2" t="n"/>
      <c r="N42" s="6" t="n"/>
      <c r="O42" s="6" t="n"/>
      <c r="P42" s="36" t="n"/>
      <c r="Q42" s="36" t="n"/>
      <c r="R42" s="37">
        <f>IF(AND(P42="",Q42=""),"",SUM(P42:Q42))</f>
        <v/>
      </c>
      <c r="S42" s="35" t="n"/>
      <c r="T42" s="9">
        <f>IF(S42="","",S42-TODAY())</f>
        <v/>
      </c>
      <c r="U42" s="10">
        <f>IF(A42="","",IF(M42="Terminée","Clôturée",IF(S42="","",IF(S42&lt;TODAY(),"En retard",IF(S42-TODAY()&lt;=30,"À planifier","À jour")))))</f>
        <v/>
      </c>
      <c r="V42" s="5" t="n"/>
    </row>
    <row r="43" ht="34" customHeight="1">
      <c r="A43" s="2" t="n"/>
      <c r="B43" s="35" t="n"/>
      <c r="C43" s="35" t="n"/>
      <c r="D43" s="11">
        <f>IF(E43="","",IFERROR(VLOOKUP(E43,'Référentiel'!$A$3:$B$11,2,FALSE),""))</f>
        <v/>
      </c>
      <c r="E43" s="2" t="n"/>
      <c r="F43" s="5" t="n"/>
      <c r="G43" s="2" t="n"/>
      <c r="H43" s="2" t="n"/>
      <c r="I43" s="5" t="n"/>
      <c r="J43" s="2" t="n"/>
      <c r="K43" s="2" t="n"/>
      <c r="L43" s="2" t="n"/>
      <c r="M43" s="2" t="n"/>
      <c r="N43" s="6" t="n"/>
      <c r="O43" s="6" t="n"/>
      <c r="P43" s="36" t="n"/>
      <c r="Q43" s="36" t="n"/>
      <c r="R43" s="38">
        <f>IF(AND(P43="",Q43=""),"",SUM(P43:Q43))</f>
        <v/>
      </c>
      <c r="S43" s="35" t="n"/>
      <c r="T43" s="13">
        <f>IF(S43="","",S43-TODAY())</f>
        <v/>
      </c>
      <c r="U43" s="14">
        <f>IF(A43="","",IF(M43="Terminée","Clôturée",IF(S43="","",IF(S43&lt;TODAY(),"En retard",IF(S43-TODAY()&lt;=30,"À planifier","À jour")))))</f>
        <v/>
      </c>
      <c r="V43" s="5" t="n"/>
    </row>
    <row r="44" ht="34" customHeight="1">
      <c r="A44" s="2" t="n"/>
      <c r="B44" s="35" t="n"/>
      <c r="C44" s="35" t="n"/>
      <c r="D44" s="4">
        <f>IF(E44="","",IFERROR(VLOOKUP(E44,'Référentiel'!$A$3:$B$11,2,FALSE),""))</f>
        <v/>
      </c>
      <c r="E44" s="2" t="n"/>
      <c r="F44" s="5" t="n"/>
      <c r="G44" s="2" t="n"/>
      <c r="H44" s="2" t="n"/>
      <c r="I44" s="5" t="n"/>
      <c r="J44" s="2" t="n"/>
      <c r="K44" s="2" t="n"/>
      <c r="L44" s="2" t="n"/>
      <c r="M44" s="2" t="n"/>
      <c r="N44" s="6" t="n"/>
      <c r="O44" s="6" t="n"/>
      <c r="P44" s="36" t="n"/>
      <c r="Q44" s="36" t="n"/>
      <c r="R44" s="37">
        <f>IF(AND(P44="",Q44=""),"",SUM(P44:Q44))</f>
        <v/>
      </c>
      <c r="S44" s="35" t="n"/>
      <c r="T44" s="9">
        <f>IF(S44="","",S44-TODAY())</f>
        <v/>
      </c>
      <c r="U44" s="10">
        <f>IF(A44="","",IF(M44="Terminée","Clôturée",IF(S44="","",IF(S44&lt;TODAY(),"En retard",IF(S44-TODAY()&lt;=30,"À planifier","À jour")))))</f>
        <v/>
      </c>
      <c r="V44" s="5" t="n"/>
    </row>
    <row r="45" ht="34" customHeight="1">
      <c r="A45" s="2" t="n"/>
      <c r="B45" s="35" t="n"/>
      <c r="C45" s="35" t="n"/>
      <c r="D45" s="11">
        <f>IF(E45="","",IFERROR(VLOOKUP(E45,'Référentiel'!$A$3:$B$11,2,FALSE),""))</f>
        <v/>
      </c>
      <c r="E45" s="2" t="n"/>
      <c r="F45" s="5" t="n"/>
      <c r="G45" s="2" t="n"/>
      <c r="H45" s="2" t="n"/>
      <c r="I45" s="5" t="n"/>
      <c r="J45" s="2" t="n"/>
      <c r="K45" s="2" t="n"/>
      <c r="L45" s="2" t="n"/>
      <c r="M45" s="2" t="n"/>
      <c r="N45" s="6" t="n"/>
      <c r="O45" s="6" t="n"/>
      <c r="P45" s="36" t="n"/>
      <c r="Q45" s="36" t="n"/>
      <c r="R45" s="38">
        <f>IF(AND(P45="",Q45=""),"",SUM(P45:Q45))</f>
        <v/>
      </c>
      <c r="S45" s="35" t="n"/>
      <c r="T45" s="13">
        <f>IF(S45="","",S45-TODAY())</f>
        <v/>
      </c>
      <c r="U45" s="14">
        <f>IF(A45="","",IF(M45="Terminée","Clôturée",IF(S45="","",IF(S45&lt;TODAY(),"En retard",IF(S45-TODAY()&lt;=30,"À planifier","À jour")))))</f>
        <v/>
      </c>
      <c r="V45" s="5" t="n"/>
    </row>
    <row r="46" ht="34" customHeight="1">
      <c r="A46" s="2" t="n"/>
      <c r="B46" s="35" t="n"/>
      <c r="C46" s="35" t="n"/>
      <c r="D46" s="4">
        <f>IF(E46="","",IFERROR(VLOOKUP(E46,'Référentiel'!$A$3:$B$11,2,FALSE),""))</f>
        <v/>
      </c>
      <c r="E46" s="2" t="n"/>
      <c r="F46" s="5" t="n"/>
      <c r="G46" s="2" t="n"/>
      <c r="H46" s="2" t="n"/>
      <c r="I46" s="5" t="n"/>
      <c r="J46" s="2" t="n"/>
      <c r="K46" s="2" t="n"/>
      <c r="L46" s="2" t="n"/>
      <c r="M46" s="2" t="n"/>
      <c r="N46" s="6" t="n"/>
      <c r="O46" s="6" t="n"/>
      <c r="P46" s="36" t="n"/>
      <c r="Q46" s="36" t="n"/>
      <c r="R46" s="37">
        <f>IF(AND(P46="",Q46=""),"",SUM(P46:Q46))</f>
        <v/>
      </c>
      <c r="S46" s="35" t="n"/>
      <c r="T46" s="9">
        <f>IF(S46="","",S46-TODAY())</f>
        <v/>
      </c>
      <c r="U46" s="10">
        <f>IF(A46="","",IF(M46="Terminée","Clôturée",IF(S46="","",IF(S46&lt;TODAY(),"En retard",IF(S46-TODAY()&lt;=30,"À planifier","À jour")))))</f>
        <v/>
      </c>
      <c r="V46" s="5" t="n"/>
    </row>
    <row r="47" ht="34" customHeight="1">
      <c r="A47" s="2" t="n"/>
      <c r="B47" s="35" t="n"/>
      <c r="C47" s="35" t="n"/>
      <c r="D47" s="11">
        <f>IF(E47="","",IFERROR(VLOOKUP(E47,'Référentiel'!$A$3:$B$11,2,FALSE),""))</f>
        <v/>
      </c>
      <c r="E47" s="2" t="n"/>
      <c r="F47" s="5" t="n"/>
      <c r="G47" s="2" t="n"/>
      <c r="H47" s="2" t="n"/>
      <c r="I47" s="5" t="n"/>
      <c r="J47" s="2" t="n"/>
      <c r="K47" s="2" t="n"/>
      <c r="L47" s="2" t="n"/>
      <c r="M47" s="2" t="n"/>
      <c r="N47" s="6" t="n"/>
      <c r="O47" s="6" t="n"/>
      <c r="P47" s="36" t="n"/>
      <c r="Q47" s="36" t="n"/>
      <c r="R47" s="38">
        <f>IF(AND(P47="",Q47=""),"",SUM(P47:Q47))</f>
        <v/>
      </c>
      <c r="S47" s="35" t="n"/>
      <c r="T47" s="13">
        <f>IF(S47="","",S47-TODAY())</f>
        <v/>
      </c>
      <c r="U47" s="14">
        <f>IF(A47="","",IF(M47="Terminée","Clôturée",IF(S47="","",IF(S47&lt;TODAY(),"En retard",IF(S47-TODAY()&lt;=30,"À planifier","À jour")))))</f>
        <v/>
      </c>
      <c r="V47" s="5" t="n"/>
    </row>
    <row r="48" ht="34" customHeight="1">
      <c r="A48" s="2" t="n"/>
      <c r="B48" s="35" t="n"/>
      <c r="C48" s="35" t="n"/>
      <c r="D48" s="4">
        <f>IF(E48="","",IFERROR(VLOOKUP(E48,'Référentiel'!$A$3:$B$11,2,FALSE),""))</f>
        <v/>
      </c>
      <c r="E48" s="2" t="n"/>
      <c r="F48" s="5" t="n"/>
      <c r="G48" s="2" t="n"/>
      <c r="H48" s="2" t="n"/>
      <c r="I48" s="5" t="n"/>
      <c r="J48" s="2" t="n"/>
      <c r="K48" s="2" t="n"/>
      <c r="L48" s="2" t="n"/>
      <c r="M48" s="2" t="n"/>
      <c r="N48" s="6" t="n"/>
      <c r="O48" s="6" t="n"/>
      <c r="P48" s="36" t="n"/>
      <c r="Q48" s="36" t="n"/>
      <c r="R48" s="37">
        <f>IF(AND(P48="",Q48=""),"",SUM(P48:Q48))</f>
        <v/>
      </c>
      <c r="S48" s="35" t="n"/>
      <c r="T48" s="9">
        <f>IF(S48="","",S48-TODAY())</f>
        <v/>
      </c>
      <c r="U48" s="10">
        <f>IF(A48="","",IF(M48="Terminée","Clôturée",IF(S48="","",IF(S48&lt;TODAY(),"En retard",IF(S48-TODAY()&lt;=30,"À planifier","À jour")))))</f>
        <v/>
      </c>
      <c r="V48" s="5" t="n"/>
    </row>
    <row r="49" ht="34" customHeight="1">
      <c r="A49" s="2" t="n"/>
      <c r="B49" s="35" t="n"/>
      <c r="C49" s="35" t="n"/>
      <c r="D49" s="11">
        <f>IF(E49="","",IFERROR(VLOOKUP(E49,'Référentiel'!$A$3:$B$11,2,FALSE),""))</f>
        <v/>
      </c>
      <c r="E49" s="2" t="n"/>
      <c r="F49" s="5" t="n"/>
      <c r="G49" s="2" t="n"/>
      <c r="H49" s="2" t="n"/>
      <c r="I49" s="5" t="n"/>
      <c r="J49" s="2" t="n"/>
      <c r="K49" s="2" t="n"/>
      <c r="L49" s="2" t="n"/>
      <c r="M49" s="2" t="n"/>
      <c r="N49" s="6" t="n"/>
      <c r="O49" s="6" t="n"/>
      <c r="P49" s="36" t="n"/>
      <c r="Q49" s="36" t="n"/>
      <c r="R49" s="38">
        <f>IF(AND(P49="",Q49=""),"",SUM(P49:Q49))</f>
        <v/>
      </c>
      <c r="S49" s="35" t="n"/>
      <c r="T49" s="13">
        <f>IF(S49="","",S49-TODAY())</f>
        <v/>
      </c>
      <c r="U49" s="14">
        <f>IF(A49="","",IF(M49="Terminée","Clôturée",IF(S49="","",IF(S49&lt;TODAY(),"En retard",IF(S49-TODAY()&lt;=30,"À planifier","À jour")))))</f>
        <v/>
      </c>
      <c r="V49" s="5" t="n"/>
    </row>
    <row r="50" ht="34" customHeight="1">
      <c r="A50" s="2" t="n"/>
      <c r="B50" s="35" t="n"/>
      <c r="C50" s="35" t="n"/>
      <c r="D50" s="4">
        <f>IF(E50="","",IFERROR(VLOOKUP(E50,'Référentiel'!$A$3:$B$11,2,FALSE),""))</f>
        <v/>
      </c>
      <c r="E50" s="2" t="n"/>
      <c r="F50" s="5" t="n"/>
      <c r="G50" s="2" t="n"/>
      <c r="H50" s="2" t="n"/>
      <c r="I50" s="5" t="n"/>
      <c r="J50" s="2" t="n"/>
      <c r="K50" s="2" t="n"/>
      <c r="L50" s="2" t="n"/>
      <c r="M50" s="2" t="n"/>
      <c r="N50" s="6" t="n"/>
      <c r="O50" s="6" t="n"/>
      <c r="P50" s="36" t="n"/>
      <c r="Q50" s="36" t="n"/>
      <c r="R50" s="37">
        <f>IF(AND(P50="",Q50=""),"",SUM(P50:Q50))</f>
        <v/>
      </c>
      <c r="S50" s="35" t="n"/>
      <c r="T50" s="9">
        <f>IF(S50="","",S50-TODAY())</f>
        <v/>
      </c>
      <c r="U50" s="10">
        <f>IF(A50="","",IF(M50="Terminée","Clôturée",IF(S50="","",IF(S50&lt;TODAY(),"En retard",IF(S50-TODAY()&lt;=30,"À planifier","À jour")))))</f>
        <v/>
      </c>
      <c r="V50" s="5" t="n"/>
    </row>
    <row r="51" ht="34" customHeight="1">
      <c r="A51" s="2" t="n"/>
      <c r="B51" s="35" t="n"/>
      <c r="C51" s="35" t="n"/>
      <c r="D51" s="11">
        <f>IF(E51="","",IFERROR(VLOOKUP(E51,'Référentiel'!$A$3:$B$11,2,FALSE),""))</f>
        <v/>
      </c>
      <c r="E51" s="2" t="n"/>
      <c r="F51" s="5" t="n"/>
      <c r="G51" s="2" t="n"/>
      <c r="H51" s="2" t="n"/>
      <c r="I51" s="5" t="n"/>
      <c r="J51" s="2" t="n"/>
      <c r="K51" s="2" t="n"/>
      <c r="L51" s="2" t="n"/>
      <c r="M51" s="2" t="n"/>
      <c r="N51" s="6" t="n"/>
      <c r="O51" s="6" t="n"/>
      <c r="P51" s="36" t="n"/>
      <c r="Q51" s="36" t="n"/>
      <c r="R51" s="38">
        <f>IF(AND(P51="",Q51=""),"",SUM(P51:Q51))</f>
        <v/>
      </c>
      <c r="S51" s="35" t="n"/>
      <c r="T51" s="13">
        <f>IF(S51="","",S51-TODAY())</f>
        <v/>
      </c>
      <c r="U51" s="14">
        <f>IF(A51="","",IF(M51="Terminée","Clôturée",IF(S51="","",IF(S51&lt;TODAY(),"En retard",IF(S51-TODAY()&lt;=30,"À planifier","À jour")))))</f>
        <v/>
      </c>
      <c r="V51" s="5" t="n"/>
    </row>
    <row r="52" ht="34" customHeight="1">
      <c r="A52" s="2" t="n"/>
      <c r="B52" s="35" t="n"/>
      <c r="C52" s="35" t="n"/>
      <c r="D52" s="4">
        <f>IF(E52="","",IFERROR(VLOOKUP(E52,'Référentiel'!$A$3:$B$11,2,FALSE),""))</f>
        <v/>
      </c>
      <c r="E52" s="2" t="n"/>
      <c r="F52" s="5" t="n"/>
      <c r="G52" s="2" t="n"/>
      <c r="H52" s="2" t="n"/>
      <c r="I52" s="5" t="n"/>
      <c r="J52" s="2" t="n"/>
      <c r="K52" s="2" t="n"/>
      <c r="L52" s="2" t="n"/>
      <c r="M52" s="2" t="n"/>
      <c r="N52" s="6" t="n"/>
      <c r="O52" s="6" t="n"/>
      <c r="P52" s="36" t="n"/>
      <c r="Q52" s="36" t="n"/>
      <c r="R52" s="37">
        <f>IF(AND(P52="",Q52=""),"",SUM(P52:Q52))</f>
        <v/>
      </c>
      <c r="S52" s="35" t="n"/>
      <c r="T52" s="9">
        <f>IF(S52="","",S52-TODAY())</f>
        <v/>
      </c>
      <c r="U52" s="10">
        <f>IF(A52="","",IF(M52="Terminée","Clôturée",IF(S52="","",IF(S52&lt;TODAY(),"En retard",IF(S52-TODAY()&lt;=30,"À planifier","À jour")))))</f>
        <v/>
      </c>
      <c r="V52" s="5" t="n"/>
    </row>
    <row r="53" ht="34" customHeight="1">
      <c r="A53" s="2" t="n"/>
      <c r="B53" s="35" t="n"/>
      <c r="C53" s="35" t="n"/>
      <c r="D53" s="11">
        <f>IF(E53="","",IFERROR(VLOOKUP(E53,'Référentiel'!$A$3:$B$11,2,FALSE),""))</f>
        <v/>
      </c>
      <c r="E53" s="2" t="n"/>
      <c r="F53" s="5" t="n"/>
      <c r="G53" s="2" t="n"/>
      <c r="H53" s="2" t="n"/>
      <c r="I53" s="5" t="n"/>
      <c r="J53" s="2" t="n"/>
      <c r="K53" s="2" t="n"/>
      <c r="L53" s="2" t="n"/>
      <c r="M53" s="2" t="n"/>
      <c r="N53" s="6" t="n"/>
      <c r="O53" s="6" t="n"/>
      <c r="P53" s="36" t="n"/>
      <c r="Q53" s="36" t="n"/>
      <c r="R53" s="38">
        <f>IF(AND(P53="",Q53=""),"",SUM(P53:Q53))</f>
        <v/>
      </c>
      <c r="S53" s="35" t="n"/>
      <c r="T53" s="13">
        <f>IF(S53="","",S53-TODAY())</f>
        <v/>
      </c>
      <c r="U53" s="14">
        <f>IF(A53="","",IF(M53="Terminée","Clôturée",IF(S53="","",IF(S53&lt;TODAY(),"En retard",IF(S53-TODAY()&lt;=30,"À planifier","À jour")))))</f>
        <v/>
      </c>
      <c r="V53" s="5" t="n"/>
    </row>
    <row r="54" ht="34" customHeight="1">
      <c r="A54" s="2" t="n"/>
      <c r="B54" s="35" t="n"/>
      <c r="C54" s="35" t="n"/>
      <c r="D54" s="4">
        <f>IF(E54="","",IFERROR(VLOOKUP(E54,'Référentiel'!$A$3:$B$11,2,FALSE),""))</f>
        <v/>
      </c>
      <c r="E54" s="2" t="n"/>
      <c r="F54" s="5" t="n"/>
      <c r="G54" s="2" t="n"/>
      <c r="H54" s="2" t="n"/>
      <c r="I54" s="5" t="n"/>
      <c r="J54" s="2" t="n"/>
      <c r="K54" s="2" t="n"/>
      <c r="L54" s="2" t="n"/>
      <c r="M54" s="2" t="n"/>
      <c r="N54" s="6" t="n"/>
      <c r="O54" s="6" t="n"/>
      <c r="P54" s="36" t="n"/>
      <c r="Q54" s="36" t="n"/>
      <c r="R54" s="37">
        <f>IF(AND(P54="",Q54=""),"",SUM(P54:Q54))</f>
        <v/>
      </c>
      <c r="S54" s="35" t="n"/>
      <c r="T54" s="9">
        <f>IF(S54="","",S54-TODAY())</f>
        <v/>
      </c>
      <c r="U54" s="10">
        <f>IF(A54="","",IF(M54="Terminée","Clôturée",IF(S54="","",IF(S54&lt;TODAY(),"En retard",IF(S54-TODAY()&lt;=30,"À planifier","À jour")))))</f>
        <v/>
      </c>
      <c r="V54" s="5" t="n"/>
    </row>
    <row r="55" ht="34" customHeight="1">
      <c r="A55" s="2" t="n"/>
      <c r="B55" s="35" t="n"/>
      <c r="C55" s="35" t="n"/>
      <c r="D55" s="11">
        <f>IF(E55="","",IFERROR(VLOOKUP(E55,'Référentiel'!$A$3:$B$11,2,FALSE),""))</f>
        <v/>
      </c>
      <c r="E55" s="2" t="n"/>
      <c r="F55" s="5" t="n"/>
      <c r="G55" s="2" t="n"/>
      <c r="H55" s="2" t="n"/>
      <c r="I55" s="5" t="n"/>
      <c r="J55" s="2" t="n"/>
      <c r="K55" s="2" t="n"/>
      <c r="L55" s="2" t="n"/>
      <c r="M55" s="2" t="n"/>
      <c r="N55" s="6" t="n"/>
      <c r="O55" s="6" t="n"/>
      <c r="P55" s="36" t="n"/>
      <c r="Q55" s="36" t="n"/>
      <c r="R55" s="38">
        <f>IF(AND(P55="",Q55=""),"",SUM(P55:Q55))</f>
        <v/>
      </c>
      <c r="S55" s="35" t="n"/>
      <c r="T55" s="13">
        <f>IF(S55="","",S55-TODAY())</f>
        <v/>
      </c>
      <c r="U55" s="14">
        <f>IF(A55="","",IF(M55="Terminée","Clôturée",IF(S55="","",IF(S55&lt;TODAY(),"En retard",IF(S55-TODAY()&lt;=30,"À planifier","À jour")))))</f>
        <v/>
      </c>
      <c r="V55" s="5" t="n"/>
    </row>
    <row r="56" ht="34" customHeight="1">
      <c r="A56" s="2" t="n"/>
      <c r="B56" s="35" t="n"/>
      <c r="C56" s="35" t="n"/>
      <c r="D56" s="4">
        <f>IF(E56="","",IFERROR(VLOOKUP(E56,'Référentiel'!$A$3:$B$11,2,FALSE),""))</f>
        <v/>
      </c>
      <c r="E56" s="2" t="n"/>
      <c r="F56" s="5" t="n"/>
      <c r="G56" s="2" t="n"/>
      <c r="H56" s="2" t="n"/>
      <c r="I56" s="5" t="n"/>
      <c r="J56" s="2" t="n"/>
      <c r="K56" s="2" t="n"/>
      <c r="L56" s="2" t="n"/>
      <c r="M56" s="2" t="n"/>
      <c r="N56" s="6" t="n"/>
      <c r="O56" s="6" t="n"/>
      <c r="P56" s="36" t="n"/>
      <c r="Q56" s="36" t="n"/>
      <c r="R56" s="37">
        <f>IF(AND(P56="",Q56=""),"",SUM(P56:Q56))</f>
        <v/>
      </c>
      <c r="S56" s="35" t="n"/>
      <c r="T56" s="9">
        <f>IF(S56="","",S56-TODAY())</f>
        <v/>
      </c>
      <c r="U56" s="10">
        <f>IF(A56="","",IF(M56="Terminée","Clôturée",IF(S56="","",IF(S56&lt;TODAY(),"En retard",IF(S56-TODAY()&lt;=30,"À planifier","À jour")))))</f>
        <v/>
      </c>
      <c r="V56" s="5" t="n"/>
    </row>
    <row r="57" ht="34" customHeight="1">
      <c r="A57" s="2" t="n"/>
      <c r="B57" s="35" t="n"/>
      <c r="C57" s="35" t="n"/>
      <c r="D57" s="11">
        <f>IF(E57="","",IFERROR(VLOOKUP(E57,'Référentiel'!$A$3:$B$11,2,FALSE),""))</f>
        <v/>
      </c>
      <c r="E57" s="2" t="n"/>
      <c r="F57" s="5" t="n"/>
      <c r="G57" s="2" t="n"/>
      <c r="H57" s="2" t="n"/>
      <c r="I57" s="5" t="n"/>
      <c r="J57" s="2" t="n"/>
      <c r="K57" s="2" t="n"/>
      <c r="L57" s="2" t="n"/>
      <c r="M57" s="2" t="n"/>
      <c r="N57" s="6" t="n"/>
      <c r="O57" s="6" t="n"/>
      <c r="P57" s="36" t="n"/>
      <c r="Q57" s="36" t="n"/>
      <c r="R57" s="38">
        <f>IF(AND(P57="",Q57=""),"",SUM(P57:Q57))</f>
        <v/>
      </c>
      <c r="S57" s="35" t="n"/>
      <c r="T57" s="13">
        <f>IF(S57="","",S57-TODAY())</f>
        <v/>
      </c>
      <c r="U57" s="14">
        <f>IF(A57="","",IF(M57="Terminée","Clôturée",IF(S57="","",IF(S57&lt;TODAY(),"En retard",IF(S57-TODAY()&lt;=30,"À planifier","À jour")))))</f>
        <v/>
      </c>
      <c r="V57" s="5" t="n"/>
    </row>
    <row r="58" ht="34" customHeight="1">
      <c r="A58" s="2" t="n"/>
      <c r="B58" s="35" t="n"/>
      <c r="C58" s="35" t="n"/>
      <c r="D58" s="4">
        <f>IF(E58="","",IFERROR(VLOOKUP(E58,'Référentiel'!$A$3:$B$11,2,FALSE),""))</f>
        <v/>
      </c>
      <c r="E58" s="2" t="n"/>
      <c r="F58" s="5" t="n"/>
      <c r="G58" s="2" t="n"/>
      <c r="H58" s="2" t="n"/>
      <c r="I58" s="5" t="n"/>
      <c r="J58" s="2" t="n"/>
      <c r="K58" s="2" t="n"/>
      <c r="L58" s="2" t="n"/>
      <c r="M58" s="2" t="n"/>
      <c r="N58" s="6" t="n"/>
      <c r="O58" s="6" t="n"/>
      <c r="P58" s="36" t="n"/>
      <c r="Q58" s="36" t="n"/>
      <c r="R58" s="37">
        <f>IF(AND(P58="",Q58=""),"",SUM(P58:Q58))</f>
        <v/>
      </c>
      <c r="S58" s="35" t="n"/>
      <c r="T58" s="9">
        <f>IF(S58="","",S58-TODAY())</f>
        <v/>
      </c>
      <c r="U58" s="10">
        <f>IF(A58="","",IF(M58="Terminée","Clôturée",IF(S58="","",IF(S58&lt;TODAY(),"En retard",IF(S58-TODAY()&lt;=30,"À planifier","À jour")))))</f>
        <v/>
      </c>
      <c r="V58" s="5" t="n"/>
    </row>
    <row r="59" ht="34" customHeight="1">
      <c r="A59" s="2" t="n"/>
      <c r="B59" s="35" t="n"/>
      <c r="C59" s="35" t="n"/>
      <c r="D59" s="11">
        <f>IF(E59="","",IFERROR(VLOOKUP(E59,'Référentiel'!$A$3:$B$11,2,FALSE),""))</f>
        <v/>
      </c>
      <c r="E59" s="2" t="n"/>
      <c r="F59" s="5" t="n"/>
      <c r="G59" s="2" t="n"/>
      <c r="H59" s="2" t="n"/>
      <c r="I59" s="5" t="n"/>
      <c r="J59" s="2" t="n"/>
      <c r="K59" s="2" t="n"/>
      <c r="L59" s="2" t="n"/>
      <c r="M59" s="2" t="n"/>
      <c r="N59" s="6" t="n"/>
      <c r="O59" s="6" t="n"/>
      <c r="P59" s="36" t="n"/>
      <c r="Q59" s="36" t="n"/>
      <c r="R59" s="38">
        <f>IF(AND(P59="",Q59=""),"",SUM(P59:Q59))</f>
        <v/>
      </c>
      <c r="S59" s="35" t="n"/>
      <c r="T59" s="13">
        <f>IF(S59="","",S59-TODAY())</f>
        <v/>
      </c>
      <c r="U59" s="14">
        <f>IF(A59="","",IF(M59="Terminée","Clôturée",IF(S59="","",IF(S59&lt;TODAY(),"En retard",IF(S59-TODAY()&lt;=30,"À planifier","À jour")))))</f>
        <v/>
      </c>
      <c r="V59" s="5" t="n"/>
    </row>
    <row r="60" ht="34" customHeight="1">
      <c r="A60" s="2" t="n"/>
      <c r="B60" s="35" t="n"/>
      <c r="C60" s="35" t="n"/>
      <c r="D60" s="4">
        <f>IF(E60="","",IFERROR(VLOOKUP(E60,'Référentiel'!$A$3:$B$11,2,FALSE),""))</f>
        <v/>
      </c>
      <c r="E60" s="2" t="n"/>
      <c r="F60" s="5" t="n"/>
      <c r="G60" s="2" t="n"/>
      <c r="H60" s="2" t="n"/>
      <c r="I60" s="5" t="n"/>
      <c r="J60" s="2" t="n"/>
      <c r="K60" s="2" t="n"/>
      <c r="L60" s="2" t="n"/>
      <c r="M60" s="2" t="n"/>
      <c r="N60" s="6" t="n"/>
      <c r="O60" s="6" t="n"/>
      <c r="P60" s="36" t="n"/>
      <c r="Q60" s="36" t="n"/>
      <c r="R60" s="37">
        <f>IF(AND(P60="",Q60=""),"",SUM(P60:Q60))</f>
        <v/>
      </c>
      <c r="S60" s="35" t="n"/>
      <c r="T60" s="9">
        <f>IF(S60="","",S60-TODAY())</f>
        <v/>
      </c>
      <c r="U60" s="10">
        <f>IF(A60="","",IF(M60="Terminée","Clôturée",IF(S60="","",IF(S60&lt;TODAY(),"En retard",IF(S60-TODAY()&lt;=30,"À planifier","À jour")))))</f>
        <v/>
      </c>
      <c r="V60" s="5" t="n"/>
    </row>
    <row r="61" ht="34" customHeight="1">
      <c r="A61" s="2" t="n"/>
      <c r="B61" s="35" t="n"/>
      <c r="C61" s="35" t="n"/>
      <c r="D61" s="11">
        <f>IF(E61="","",IFERROR(VLOOKUP(E61,'Référentiel'!$A$3:$B$11,2,FALSE),""))</f>
        <v/>
      </c>
      <c r="E61" s="2" t="n"/>
      <c r="F61" s="5" t="n"/>
      <c r="G61" s="2" t="n"/>
      <c r="H61" s="2" t="n"/>
      <c r="I61" s="5" t="n"/>
      <c r="J61" s="2" t="n"/>
      <c r="K61" s="2" t="n"/>
      <c r="L61" s="2" t="n"/>
      <c r="M61" s="2" t="n"/>
      <c r="N61" s="6" t="n"/>
      <c r="O61" s="6" t="n"/>
      <c r="P61" s="36" t="n"/>
      <c r="Q61" s="36" t="n"/>
      <c r="R61" s="38">
        <f>IF(AND(P61="",Q61=""),"",SUM(P61:Q61))</f>
        <v/>
      </c>
      <c r="S61" s="35" t="n"/>
      <c r="T61" s="13">
        <f>IF(S61="","",S61-TODAY())</f>
        <v/>
      </c>
      <c r="U61" s="14">
        <f>IF(A61="","",IF(M61="Terminée","Clôturée",IF(S61="","",IF(S61&lt;TODAY(),"En retard",IF(S61-TODAY()&lt;=30,"À planifier","À jour")))))</f>
        <v/>
      </c>
      <c r="V61" s="5" t="n"/>
    </row>
    <row r="62" ht="34" customHeight="1">
      <c r="A62" s="2" t="n"/>
      <c r="B62" s="35" t="n"/>
      <c r="C62" s="35" t="n"/>
      <c r="D62" s="4">
        <f>IF(E62="","",IFERROR(VLOOKUP(E62,'Référentiel'!$A$3:$B$11,2,FALSE),""))</f>
        <v/>
      </c>
      <c r="E62" s="2" t="n"/>
      <c r="F62" s="5" t="n"/>
      <c r="G62" s="2" t="n"/>
      <c r="H62" s="2" t="n"/>
      <c r="I62" s="5" t="n"/>
      <c r="J62" s="2" t="n"/>
      <c r="K62" s="2" t="n"/>
      <c r="L62" s="2" t="n"/>
      <c r="M62" s="2" t="n"/>
      <c r="N62" s="6" t="n"/>
      <c r="O62" s="6" t="n"/>
      <c r="P62" s="36" t="n"/>
      <c r="Q62" s="36" t="n"/>
      <c r="R62" s="37">
        <f>IF(AND(P62="",Q62=""),"",SUM(P62:Q62))</f>
        <v/>
      </c>
      <c r="S62" s="35" t="n"/>
      <c r="T62" s="9">
        <f>IF(S62="","",S62-TODAY())</f>
        <v/>
      </c>
      <c r="U62" s="10">
        <f>IF(A62="","",IF(M62="Terminée","Clôturée",IF(S62="","",IF(S62&lt;TODAY(),"En retard",IF(S62-TODAY()&lt;=30,"À planifier","À jour")))))</f>
        <v/>
      </c>
      <c r="V62" s="5" t="n"/>
    </row>
    <row r="63" ht="34" customHeight="1">
      <c r="A63" s="2" t="n"/>
      <c r="B63" s="35" t="n"/>
      <c r="C63" s="35" t="n"/>
      <c r="D63" s="11">
        <f>IF(E63="","",IFERROR(VLOOKUP(E63,'Référentiel'!$A$3:$B$11,2,FALSE),""))</f>
        <v/>
      </c>
      <c r="E63" s="2" t="n"/>
      <c r="F63" s="5" t="n"/>
      <c r="G63" s="2" t="n"/>
      <c r="H63" s="2" t="n"/>
      <c r="I63" s="5" t="n"/>
      <c r="J63" s="2" t="n"/>
      <c r="K63" s="2" t="n"/>
      <c r="L63" s="2" t="n"/>
      <c r="M63" s="2" t="n"/>
      <c r="N63" s="6" t="n"/>
      <c r="O63" s="6" t="n"/>
      <c r="P63" s="36" t="n"/>
      <c r="Q63" s="36" t="n"/>
      <c r="R63" s="38">
        <f>IF(AND(P63="",Q63=""),"",SUM(P63:Q63))</f>
        <v/>
      </c>
      <c r="S63" s="35" t="n"/>
      <c r="T63" s="13">
        <f>IF(S63="","",S63-TODAY())</f>
        <v/>
      </c>
      <c r="U63" s="14">
        <f>IF(A63="","",IF(M63="Terminée","Clôturée",IF(S63="","",IF(S63&lt;TODAY(),"En retard",IF(S63-TODAY()&lt;=30,"À planifier","À jour")))))</f>
        <v/>
      </c>
      <c r="V63" s="5" t="n"/>
    </row>
    <row r="64" ht="34" customHeight="1">
      <c r="A64" s="2" t="n"/>
      <c r="B64" s="35" t="n"/>
      <c r="C64" s="35" t="n"/>
      <c r="D64" s="4">
        <f>IF(E64="","",IFERROR(VLOOKUP(E64,'Référentiel'!$A$3:$B$11,2,FALSE),""))</f>
        <v/>
      </c>
      <c r="E64" s="2" t="n"/>
      <c r="F64" s="5" t="n"/>
      <c r="G64" s="2" t="n"/>
      <c r="H64" s="2" t="n"/>
      <c r="I64" s="5" t="n"/>
      <c r="J64" s="2" t="n"/>
      <c r="K64" s="2" t="n"/>
      <c r="L64" s="2" t="n"/>
      <c r="M64" s="2" t="n"/>
      <c r="N64" s="6" t="n"/>
      <c r="O64" s="6" t="n"/>
      <c r="P64" s="36" t="n"/>
      <c r="Q64" s="36" t="n"/>
      <c r="R64" s="37">
        <f>IF(AND(P64="",Q64=""),"",SUM(P64:Q64))</f>
        <v/>
      </c>
      <c r="S64" s="35" t="n"/>
      <c r="T64" s="9">
        <f>IF(S64="","",S64-TODAY())</f>
        <v/>
      </c>
      <c r="U64" s="10">
        <f>IF(A64="","",IF(M64="Terminée","Clôturée",IF(S64="","",IF(S64&lt;TODAY(),"En retard",IF(S64-TODAY()&lt;=30,"À planifier","À jour")))))</f>
        <v/>
      </c>
      <c r="V64" s="5" t="n"/>
    </row>
    <row r="65" ht="34" customHeight="1">
      <c r="A65" s="2" t="n"/>
      <c r="B65" s="35" t="n"/>
      <c r="C65" s="35" t="n"/>
      <c r="D65" s="11">
        <f>IF(E65="","",IFERROR(VLOOKUP(E65,'Référentiel'!$A$3:$B$11,2,FALSE),""))</f>
        <v/>
      </c>
      <c r="E65" s="2" t="n"/>
      <c r="F65" s="5" t="n"/>
      <c r="G65" s="2" t="n"/>
      <c r="H65" s="2" t="n"/>
      <c r="I65" s="5" t="n"/>
      <c r="J65" s="2" t="n"/>
      <c r="K65" s="2" t="n"/>
      <c r="L65" s="2" t="n"/>
      <c r="M65" s="2" t="n"/>
      <c r="N65" s="6" t="n"/>
      <c r="O65" s="6" t="n"/>
      <c r="P65" s="36" t="n"/>
      <c r="Q65" s="36" t="n"/>
      <c r="R65" s="38">
        <f>IF(AND(P65="",Q65=""),"",SUM(P65:Q65))</f>
        <v/>
      </c>
      <c r="S65" s="35" t="n"/>
      <c r="T65" s="13">
        <f>IF(S65="","",S65-TODAY())</f>
        <v/>
      </c>
      <c r="U65" s="14">
        <f>IF(A65="","",IF(M65="Terminée","Clôturée",IF(S65="","",IF(S65&lt;TODAY(),"En retard",IF(S65-TODAY()&lt;=30,"À planifier","À jour")))))</f>
        <v/>
      </c>
      <c r="V65" s="5" t="n"/>
    </row>
    <row r="66" ht="34" customHeight="1">
      <c r="A66" s="2" t="n"/>
      <c r="B66" s="35" t="n"/>
      <c r="C66" s="35" t="n"/>
      <c r="D66" s="4">
        <f>IF(E66="","",IFERROR(VLOOKUP(E66,'Référentiel'!$A$3:$B$11,2,FALSE),""))</f>
        <v/>
      </c>
      <c r="E66" s="2" t="n"/>
      <c r="F66" s="5" t="n"/>
      <c r="G66" s="2" t="n"/>
      <c r="H66" s="2" t="n"/>
      <c r="I66" s="5" t="n"/>
      <c r="J66" s="2" t="n"/>
      <c r="K66" s="2" t="n"/>
      <c r="L66" s="2" t="n"/>
      <c r="M66" s="2" t="n"/>
      <c r="N66" s="6" t="n"/>
      <c r="O66" s="6" t="n"/>
      <c r="P66" s="36" t="n"/>
      <c r="Q66" s="36" t="n"/>
      <c r="R66" s="37">
        <f>IF(AND(P66="",Q66=""),"",SUM(P66:Q66))</f>
        <v/>
      </c>
      <c r="S66" s="35" t="n"/>
      <c r="T66" s="9">
        <f>IF(S66="","",S66-TODAY())</f>
        <v/>
      </c>
      <c r="U66" s="10">
        <f>IF(A66="","",IF(M66="Terminée","Clôturée",IF(S66="","",IF(S66&lt;TODAY(),"En retard",IF(S66-TODAY()&lt;=30,"À planifier","À jour")))))</f>
        <v/>
      </c>
      <c r="V66" s="5" t="n"/>
    </row>
    <row r="67" ht="34" customHeight="1">
      <c r="A67" s="2" t="n"/>
      <c r="B67" s="35" t="n"/>
      <c r="C67" s="35" t="n"/>
      <c r="D67" s="11">
        <f>IF(E67="","",IFERROR(VLOOKUP(E67,'Référentiel'!$A$3:$B$11,2,FALSE),""))</f>
        <v/>
      </c>
      <c r="E67" s="2" t="n"/>
      <c r="F67" s="5" t="n"/>
      <c r="G67" s="2" t="n"/>
      <c r="H67" s="2" t="n"/>
      <c r="I67" s="5" t="n"/>
      <c r="J67" s="2" t="n"/>
      <c r="K67" s="2" t="n"/>
      <c r="L67" s="2" t="n"/>
      <c r="M67" s="2" t="n"/>
      <c r="N67" s="6" t="n"/>
      <c r="O67" s="6" t="n"/>
      <c r="P67" s="36" t="n"/>
      <c r="Q67" s="36" t="n"/>
      <c r="R67" s="38">
        <f>IF(AND(P67="",Q67=""),"",SUM(P67:Q67))</f>
        <v/>
      </c>
      <c r="S67" s="35" t="n"/>
      <c r="T67" s="13">
        <f>IF(S67="","",S67-TODAY())</f>
        <v/>
      </c>
      <c r="U67" s="14">
        <f>IF(A67="","",IF(M67="Terminée","Clôturée",IF(S67="","",IF(S67&lt;TODAY(),"En retard",IF(S67-TODAY()&lt;=30,"À planifier","À jour")))))</f>
        <v/>
      </c>
      <c r="V67" s="5" t="n"/>
    </row>
    <row r="68" ht="34" customHeight="1">
      <c r="A68" s="2" t="n"/>
      <c r="B68" s="35" t="n"/>
      <c r="C68" s="35" t="n"/>
      <c r="D68" s="4">
        <f>IF(E68="","",IFERROR(VLOOKUP(E68,'Référentiel'!$A$3:$B$11,2,FALSE),""))</f>
        <v/>
      </c>
      <c r="E68" s="2" t="n"/>
      <c r="F68" s="5" t="n"/>
      <c r="G68" s="2" t="n"/>
      <c r="H68" s="2" t="n"/>
      <c r="I68" s="5" t="n"/>
      <c r="J68" s="2" t="n"/>
      <c r="K68" s="2" t="n"/>
      <c r="L68" s="2" t="n"/>
      <c r="M68" s="2" t="n"/>
      <c r="N68" s="6" t="n"/>
      <c r="O68" s="6" t="n"/>
      <c r="P68" s="36" t="n"/>
      <c r="Q68" s="36" t="n"/>
      <c r="R68" s="37">
        <f>IF(AND(P68="",Q68=""),"",SUM(P68:Q68))</f>
        <v/>
      </c>
      <c r="S68" s="35" t="n"/>
      <c r="T68" s="9">
        <f>IF(S68="","",S68-TODAY())</f>
        <v/>
      </c>
      <c r="U68" s="10">
        <f>IF(A68="","",IF(M68="Terminée","Clôturée",IF(S68="","",IF(S68&lt;TODAY(),"En retard",IF(S68-TODAY()&lt;=30,"À planifier","À jour")))))</f>
        <v/>
      </c>
      <c r="V68" s="5" t="n"/>
    </row>
    <row r="69" ht="34" customHeight="1">
      <c r="A69" s="2" t="n"/>
      <c r="B69" s="35" t="n"/>
      <c r="C69" s="35" t="n"/>
      <c r="D69" s="11">
        <f>IF(E69="","",IFERROR(VLOOKUP(E69,'Référentiel'!$A$3:$B$11,2,FALSE),""))</f>
        <v/>
      </c>
      <c r="E69" s="2" t="n"/>
      <c r="F69" s="5" t="n"/>
      <c r="G69" s="2" t="n"/>
      <c r="H69" s="2" t="n"/>
      <c r="I69" s="5" t="n"/>
      <c r="J69" s="2" t="n"/>
      <c r="K69" s="2" t="n"/>
      <c r="L69" s="2" t="n"/>
      <c r="M69" s="2" t="n"/>
      <c r="N69" s="6" t="n"/>
      <c r="O69" s="6" t="n"/>
      <c r="P69" s="36" t="n"/>
      <c r="Q69" s="36" t="n"/>
      <c r="R69" s="38">
        <f>IF(AND(P69="",Q69=""),"",SUM(P69:Q69))</f>
        <v/>
      </c>
      <c r="S69" s="35" t="n"/>
      <c r="T69" s="13">
        <f>IF(S69="","",S69-TODAY())</f>
        <v/>
      </c>
      <c r="U69" s="14">
        <f>IF(A69="","",IF(M69="Terminée","Clôturée",IF(S69="","",IF(S69&lt;TODAY(),"En retard",IF(S69-TODAY()&lt;=30,"À planifier","À jour")))))</f>
        <v/>
      </c>
      <c r="V69" s="5" t="n"/>
    </row>
    <row r="70" ht="34" customHeight="1">
      <c r="A70" s="2" t="n"/>
      <c r="B70" s="35" t="n"/>
      <c r="C70" s="35" t="n"/>
      <c r="D70" s="4">
        <f>IF(E70="","",IFERROR(VLOOKUP(E70,'Référentiel'!$A$3:$B$11,2,FALSE),""))</f>
        <v/>
      </c>
      <c r="E70" s="2" t="n"/>
      <c r="F70" s="5" t="n"/>
      <c r="G70" s="2" t="n"/>
      <c r="H70" s="2" t="n"/>
      <c r="I70" s="5" t="n"/>
      <c r="J70" s="2" t="n"/>
      <c r="K70" s="2" t="n"/>
      <c r="L70" s="2" t="n"/>
      <c r="M70" s="2" t="n"/>
      <c r="N70" s="6" t="n"/>
      <c r="O70" s="6" t="n"/>
      <c r="P70" s="36" t="n"/>
      <c r="Q70" s="36" t="n"/>
      <c r="R70" s="37">
        <f>IF(AND(P70="",Q70=""),"",SUM(P70:Q70))</f>
        <v/>
      </c>
      <c r="S70" s="35" t="n"/>
      <c r="T70" s="9">
        <f>IF(S70="","",S70-TODAY())</f>
        <v/>
      </c>
      <c r="U70" s="10">
        <f>IF(A70="","",IF(M70="Terminée","Clôturée",IF(S70="","",IF(S70&lt;TODAY(),"En retard",IF(S70-TODAY()&lt;=30,"À planifier","À jour")))))</f>
        <v/>
      </c>
      <c r="V70" s="5" t="n"/>
    </row>
    <row r="71" ht="34" customHeight="1">
      <c r="A71" s="2" t="n"/>
      <c r="B71" s="35" t="n"/>
      <c r="C71" s="35" t="n"/>
      <c r="D71" s="11">
        <f>IF(E71="","",IFERROR(VLOOKUP(E71,'Référentiel'!$A$3:$B$11,2,FALSE),""))</f>
        <v/>
      </c>
      <c r="E71" s="2" t="n"/>
      <c r="F71" s="5" t="n"/>
      <c r="G71" s="2" t="n"/>
      <c r="H71" s="2" t="n"/>
      <c r="I71" s="5" t="n"/>
      <c r="J71" s="2" t="n"/>
      <c r="K71" s="2" t="n"/>
      <c r="L71" s="2" t="n"/>
      <c r="M71" s="2" t="n"/>
      <c r="N71" s="6" t="n"/>
      <c r="O71" s="6" t="n"/>
      <c r="P71" s="36" t="n"/>
      <c r="Q71" s="36" t="n"/>
      <c r="R71" s="38">
        <f>IF(AND(P71="",Q71=""),"",SUM(P71:Q71))</f>
        <v/>
      </c>
      <c r="S71" s="35" t="n"/>
      <c r="T71" s="13">
        <f>IF(S71="","",S71-TODAY())</f>
        <v/>
      </c>
      <c r="U71" s="14">
        <f>IF(A71="","",IF(M71="Terminée","Clôturée",IF(S71="","",IF(S71&lt;TODAY(),"En retard",IF(S71-TODAY()&lt;=30,"À planifier","À jour")))))</f>
        <v/>
      </c>
      <c r="V71" s="5" t="n"/>
    </row>
    <row r="72" ht="34" customHeight="1">
      <c r="A72" s="2" t="n"/>
      <c r="B72" s="35" t="n"/>
      <c r="C72" s="35" t="n"/>
      <c r="D72" s="4">
        <f>IF(E72="","",IFERROR(VLOOKUP(E72,'Référentiel'!$A$3:$B$11,2,FALSE),""))</f>
        <v/>
      </c>
      <c r="E72" s="2" t="n"/>
      <c r="F72" s="5" t="n"/>
      <c r="G72" s="2" t="n"/>
      <c r="H72" s="2" t="n"/>
      <c r="I72" s="5" t="n"/>
      <c r="J72" s="2" t="n"/>
      <c r="K72" s="2" t="n"/>
      <c r="L72" s="2" t="n"/>
      <c r="M72" s="2" t="n"/>
      <c r="N72" s="6" t="n"/>
      <c r="O72" s="6" t="n"/>
      <c r="P72" s="36" t="n"/>
      <c r="Q72" s="36" t="n"/>
      <c r="R72" s="37">
        <f>IF(AND(P72="",Q72=""),"",SUM(P72:Q72))</f>
        <v/>
      </c>
      <c r="S72" s="35" t="n"/>
      <c r="T72" s="9">
        <f>IF(S72="","",S72-TODAY())</f>
        <v/>
      </c>
      <c r="U72" s="10">
        <f>IF(A72="","",IF(M72="Terminée","Clôturée",IF(S72="","",IF(S72&lt;TODAY(),"En retard",IF(S72-TODAY()&lt;=30,"À planifier","À jour")))))</f>
        <v/>
      </c>
      <c r="V72" s="5" t="n"/>
    </row>
    <row r="73" ht="34" customHeight="1">
      <c r="A73" s="2" t="n"/>
      <c r="B73" s="35" t="n"/>
      <c r="C73" s="35" t="n"/>
      <c r="D73" s="11">
        <f>IF(E73="","",IFERROR(VLOOKUP(E73,'Référentiel'!$A$3:$B$11,2,FALSE),""))</f>
        <v/>
      </c>
      <c r="E73" s="2" t="n"/>
      <c r="F73" s="5" t="n"/>
      <c r="G73" s="2" t="n"/>
      <c r="H73" s="2" t="n"/>
      <c r="I73" s="5" t="n"/>
      <c r="J73" s="2" t="n"/>
      <c r="K73" s="2" t="n"/>
      <c r="L73" s="2" t="n"/>
      <c r="M73" s="2" t="n"/>
      <c r="N73" s="6" t="n"/>
      <c r="O73" s="6" t="n"/>
      <c r="P73" s="36" t="n"/>
      <c r="Q73" s="36" t="n"/>
      <c r="R73" s="38">
        <f>IF(AND(P73="",Q73=""),"",SUM(P73:Q73))</f>
        <v/>
      </c>
      <c r="S73" s="35" t="n"/>
      <c r="T73" s="13">
        <f>IF(S73="","",S73-TODAY())</f>
        <v/>
      </c>
      <c r="U73" s="14">
        <f>IF(A73="","",IF(M73="Terminée","Clôturée",IF(S73="","",IF(S73&lt;TODAY(),"En retard",IF(S73-TODAY()&lt;=30,"À planifier","À jour")))))</f>
        <v/>
      </c>
      <c r="V73" s="5" t="n"/>
    </row>
    <row r="74" ht="34" customHeight="1">
      <c r="A74" s="2" t="n"/>
      <c r="B74" s="35" t="n"/>
      <c r="C74" s="35" t="n"/>
      <c r="D74" s="4">
        <f>IF(E74="","",IFERROR(VLOOKUP(E74,'Référentiel'!$A$3:$B$11,2,FALSE),""))</f>
        <v/>
      </c>
      <c r="E74" s="2" t="n"/>
      <c r="F74" s="5" t="n"/>
      <c r="G74" s="2" t="n"/>
      <c r="H74" s="2" t="n"/>
      <c r="I74" s="5" t="n"/>
      <c r="J74" s="2" t="n"/>
      <c r="K74" s="2" t="n"/>
      <c r="L74" s="2" t="n"/>
      <c r="M74" s="2" t="n"/>
      <c r="N74" s="6" t="n"/>
      <c r="O74" s="6" t="n"/>
      <c r="P74" s="36" t="n"/>
      <c r="Q74" s="36" t="n"/>
      <c r="R74" s="37">
        <f>IF(AND(P74="",Q74=""),"",SUM(P74:Q74))</f>
        <v/>
      </c>
      <c r="S74" s="35" t="n"/>
      <c r="T74" s="9">
        <f>IF(S74="","",S74-TODAY())</f>
        <v/>
      </c>
      <c r="U74" s="10">
        <f>IF(A74="","",IF(M74="Terminée","Clôturée",IF(S74="","",IF(S74&lt;TODAY(),"En retard",IF(S74-TODAY()&lt;=30,"À planifier","À jour")))))</f>
        <v/>
      </c>
      <c r="V74" s="5" t="n"/>
    </row>
    <row r="75" ht="34" customHeight="1">
      <c r="A75" s="2" t="n"/>
      <c r="B75" s="35" t="n"/>
      <c r="C75" s="35" t="n"/>
      <c r="D75" s="11">
        <f>IF(E75="","",IFERROR(VLOOKUP(E75,'Référentiel'!$A$3:$B$11,2,FALSE),""))</f>
        <v/>
      </c>
      <c r="E75" s="2" t="n"/>
      <c r="F75" s="5" t="n"/>
      <c r="G75" s="2" t="n"/>
      <c r="H75" s="2" t="n"/>
      <c r="I75" s="5" t="n"/>
      <c r="J75" s="2" t="n"/>
      <c r="K75" s="2" t="n"/>
      <c r="L75" s="2" t="n"/>
      <c r="M75" s="2" t="n"/>
      <c r="N75" s="6" t="n"/>
      <c r="O75" s="6" t="n"/>
      <c r="P75" s="36" t="n"/>
      <c r="Q75" s="36" t="n"/>
      <c r="R75" s="38">
        <f>IF(AND(P75="",Q75=""),"",SUM(P75:Q75))</f>
        <v/>
      </c>
      <c r="S75" s="35" t="n"/>
      <c r="T75" s="13">
        <f>IF(S75="","",S75-TODAY())</f>
        <v/>
      </c>
      <c r="U75" s="14">
        <f>IF(A75="","",IF(M75="Terminée","Clôturée",IF(S75="","",IF(S75&lt;TODAY(),"En retard",IF(S75-TODAY()&lt;=30,"À planifier","À jour")))))</f>
        <v/>
      </c>
      <c r="V75" s="5" t="n"/>
    </row>
    <row r="76" ht="34" customHeight="1">
      <c r="A76" s="2" t="n"/>
      <c r="B76" s="35" t="n"/>
      <c r="C76" s="35" t="n"/>
      <c r="D76" s="4">
        <f>IF(E76="","",IFERROR(VLOOKUP(E76,'Référentiel'!$A$3:$B$11,2,FALSE),""))</f>
        <v/>
      </c>
      <c r="E76" s="2" t="n"/>
      <c r="F76" s="5" t="n"/>
      <c r="G76" s="2" t="n"/>
      <c r="H76" s="2" t="n"/>
      <c r="I76" s="5" t="n"/>
      <c r="J76" s="2" t="n"/>
      <c r="K76" s="2" t="n"/>
      <c r="L76" s="2" t="n"/>
      <c r="M76" s="2" t="n"/>
      <c r="N76" s="6" t="n"/>
      <c r="O76" s="6" t="n"/>
      <c r="P76" s="36" t="n"/>
      <c r="Q76" s="36" t="n"/>
      <c r="R76" s="37">
        <f>IF(AND(P76="",Q76=""),"",SUM(P76:Q76))</f>
        <v/>
      </c>
      <c r="S76" s="35" t="n"/>
      <c r="T76" s="9">
        <f>IF(S76="","",S76-TODAY())</f>
        <v/>
      </c>
      <c r="U76" s="10">
        <f>IF(A76="","",IF(M76="Terminée","Clôturée",IF(S76="","",IF(S76&lt;TODAY(),"En retard",IF(S76-TODAY()&lt;=30,"À planifier","À jour")))))</f>
        <v/>
      </c>
      <c r="V76" s="5" t="n"/>
    </row>
    <row r="77" ht="34" customHeight="1">
      <c r="A77" s="2" t="n"/>
      <c r="B77" s="35" t="n"/>
      <c r="C77" s="35" t="n"/>
      <c r="D77" s="11">
        <f>IF(E77="","",IFERROR(VLOOKUP(E77,'Référentiel'!$A$3:$B$11,2,FALSE),""))</f>
        <v/>
      </c>
      <c r="E77" s="2" t="n"/>
      <c r="F77" s="5" t="n"/>
      <c r="G77" s="2" t="n"/>
      <c r="H77" s="2" t="n"/>
      <c r="I77" s="5" t="n"/>
      <c r="J77" s="2" t="n"/>
      <c r="K77" s="2" t="n"/>
      <c r="L77" s="2" t="n"/>
      <c r="M77" s="2" t="n"/>
      <c r="N77" s="6" t="n"/>
      <c r="O77" s="6" t="n"/>
      <c r="P77" s="36" t="n"/>
      <c r="Q77" s="36" t="n"/>
      <c r="R77" s="38">
        <f>IF(AND(P77="",Q77=""),"",SUM(P77:Q77))</f>
        <v/>
      </c>
      <c r="S77" s="35" t="n"/>
      <c r="T77" s="13">
        <f>IF(S77="","",S77-TODAY())</f>
        <v/>
      </c>
      <c r="U77" s="14">
        <f>IF(A77="","",IF(M77="Terminée","Clôturée",IF(S77="","",IF(S77&lt;TODAY(),"En retard",IF(S77-TODAY()&lt;=30,"À planifier","À jour")))))</f>
        <v/>
      </c>
      <c r="V77" s="5" t="n"/>
    </row>
    <row r="78" ht="34" customHeight="1">
      <c r="A78" s="2" t="n"/>
      <c r="B78" s="35" t="n"/>
      <c r="C78" s="35" t="n"/>
      <c r="D78" s="4">
        <f>IF(E78="","",IFERROR(VLOOKUP(E78,'Référentiel'!$A$3:$B$11,2,FALSE),""))</f>
        <v/>
      </c>
      <c r="E78" s="2" t="n"/>
      <c r="F78" s="5" t="n"/>
      <c r="G78" s="2" t="n"/>
      <c r="H78" s="2" t="n"/>
      <c r="I78" s="5" t="n"/>
      <c r="J78" s="2" t="n"/>
      <c r="K78" s="2" t="n"/>
      <c r="L78" s="2" t="n"/>
      <c r="M78" s="2" t="n"/>
      <c r="N78" s="6" t="n"/>
      <c r="O78" s="6" t="n"/>
      <c r="P78" s="36" t="n"/>
      <c r="Q78" s="36" t="n"/>
      <c r="R78" s="37">
        <f>IF(AND(P78="",Q78=""),"",SUM(P78:Q78))</f>
        <v/>
      </c>
      <c r="S78" s="35" t="n"/>
      <c r="T78" s="9">
        <f>IF(S78="","",S78-TODAY())</f>
        <v/>
      </c>
      <c r="U78" s="10">
        <f>IF(A78="","",IF(M78="Terminée","Clôturée",IF(S78="","",IF(S78&lt;TODAY(),"En retard",IF(S78-TODAY()&lt;=30,"À planifier","À jour")))))</f>
        <v/>
      </c>
      <c r="V78" s="5" t="n"/>
    </row>
    <row r="79" ht="34" customHeight="1">
      <c r="A79" s="2" t="n"/>
      <c r="B79" s="35" t="n"/>
      <c r="C79" s="35" t="n"/>
      <c r="D79" s="11">
        <f>IF(E79="","",IFERROR(VLOOKUP(E79,'Référentiel'!$A$3:$B$11,2,FALSE),""))</f>
        <v/>
      </c>
      <c r="E79" s="2" t="n"/>
      <c r="F79" s="5" t="n"/>
      <c r="G79" s="2" t="n"/>
      <c r="H79" s="2" t="n"/>
      <c r="I79" s="5" t="n"/>
      <c r="J79" s="2" t="n"/>
      <c r="K79" s="2" t="n"/>
      <c r="L79" s="2" t="n"/>
      <c r="M79" s="2" t="n"/>
      <c r="N79" s="6" t="n"/>
      <c r="O79" s="6" t="n"/>
      <c r="P79" s="36" t="n"/>
      <c r="Q79" s="36" t="n"/>
      <c r="R79" s="38">
        <f>IF(AND(P79="",Q79=""),"",SUM(P79:Q79))</f>
        <v/>
      </c>
      <c r="S79" s="35" t="n"/>
      <c r="T79" s="13">
        <f>IF(S79="","",S79-TODAY())</f>
        <v/>
      </c>
      <c r="U79" s="14">
        <f>IF(A79="","",IF(M79="Terminée","Clôturée",IF(S79="","",IF(S79&lt;TODAY(),"En retard",IF(S79-TODAY()&lt;=30,"À planifier","À jour")))))</f>
        <v/>
      </c>
      <c r="V79" s="5" t="n"/>
    </row>
    <row r="80" ht="34" customHeight="1">
      <c r="A80" s="2" t="n"/>
      <c r="B80" s="35" t="n"/>
      <c r="C80" s="35" t="n"/>
      <c r="D80" s="4">
        <f>IF(E80="","",IFERROR(VLOOKUP(E80,'Référentiel'!$A$3:$B$11,2,FALSE),""))</f>
        <v/>
      </c>
      <c r="E80" s="2" t="n"/>
      <c r="F80" s="5" t="n"/>
      <c r="G80" s="2" t="n"/>
      <c r="H80" s="2" t="n"/>
      <c r="I80" s="5" t="n"/>
      <c r="J80" s="2" t="n"/>
      <c r="K80" s="2" t="n"/>
      <c r="L80" s="2" t="n"/>
      <c r="M80" s="2" t="n"/>
      <c r="N80" s="6" t="n"/>
      <c r="O80" s="6" t="n"/>
      <c r="P80" s="36" t="n"/>
      <c r="Q80" s="36" t="n"/>
      <c r="R80" s="37">
        <f>IF(AND(P80="",Q80=""),"",SUM(P80:Q80))</f>
        <v/>
      </c>
      <c r="S80" s="35" t="n"/>
      <c r="T80" s="9">
        <f>IF(S80="","",S80-TODAY())</f>
        <v/>
      </c>
      <c r="U80" s="10">
        <f>IF(A80="","",IF(M80="Terminée","Clôturée",IF(S80="","",IF(S80&lt;TODAY(),"En retard",IF(S80-TODAY()&lt;=30,"À planifier","À jour")))))</f>
        <v/>
      </c>
      <c r="V80" s="5" t="n"/>
    </row>
    <row r="81" ht="34" customHeight="1">
      <c r="A81" s="2" t="n"/>
      <c r="B81" s="35" t="n"/>
      <c r="C81" s="35" t="n"/>
      <c r="D81" s="11">
        <f>IF(E81="","",IFERROR(VLOOKUP(E81,'Référentiel'!$A$3:$B$11,2,FALSE),""))</f>
        <v/>
      </c>
      <c r="E81" s="2" t="n"/>
      <c r="F81" s="5" t="n"/>
      <c r="G81" s="2" t="n"/>
      <c r="H81" s="2" t="n"/>
      <c r="I81" s="5" t="n"/>
      <c r="J81" s="2" t="n"/>
      <c r="K81" s="2" t="n"/>
      <c r="L81" s="2" t="n"/>
      <c r="M81" s="2" t="n"/>
      <c r="N81" s="6" t="n"/>
      <c r="O81" s="6" t="n"/>
      <c r="P81" s="36" t="n"/>
      <c r="Q81" s="36" t="n"/>
      <c r="R81" s="38">
        <f>IF(AND(P81="",Q81=""),"",SUM(P81:Q81))</f>
        <v/>
      </c>
      <c r="S81" s="35" t="n"/>
      <c r="T81" s="13">
        <f>IF(S81="","",S81-TODAY())</f>
        <v/>
      </c>
      <c r="U81" s="14">
        <f>IF(A81="","",IF(M81="Terminée","Clôturée",IF(S81="","",IF(S81&lt;TODAY(),"En retard",IF(S81-TODAY()&lt;=30,"À planifier","À jour")))))</f>
        <v/>
      </c>
      <c r="V81" s="5" t="n"/>
    </row>
    <row r="82" ht="34" customHeight="1">
      <c r="A82" s="2" t="n"/>
      <c r="B82" s="35" t="n"/>
      <c r="C82" s="35" t="n"/>
      <c r="D82" s="4">
        <f>IF(E82="","",IFERROR(VLOOKUP(E82,'Référentiel'!$A$3:$B$11,2,FALSE),""))</f>
        <v/>
      </c>
      <c r="E82" s="2" t="n"/>
      <c r="F82" s="5" t="n"/>
      <c r="G82" s="2" t="n"/>
      <c r="H82" s="2" t="n"/>
      <c r="I82" s="5" t="n"/>
      <c r="J82" s="2" t="n"/>
      <c r="K82" s="2" t="n"/>
      <c r="L82" s="2" t="n"/>
      <c r="M82" s="2" t="n"/>
      <c r="N82" s="6" t="n"/>
      <c r="O82" s="6" t="n"/>
      <c r="P82" s="36" t="n"/>
      <c r="Q82" s="36" t="n"/>
      <c r="R82" s="37">
        <f>IF(AND(P82="",Q82=""),"",SUM(P82:Q82))</f>
        <v/>
      </c>
      <c r="S82" s="35" t="n"/>
      <c r="T82" s="9">
        <f>IF(S82="","",S82-TODAY())</f>
        <v/>
      </c>
      <c r="U82" s="10">
        <f>IF(A82="","",IF(M82="Terminée","Clôturée",IF(S82="","",IF(S82&lt;TODAY(),"En retard",IF(S82-TODAY()&lt;=30,"À planifier","À jour")))))</f>
        <v/>
      </c>
      <c r="V82" s="5" t="n"/>
    </row>
    <row r="83" ht="34" customHeight="1">
      <c r="A83" s="2" t="n"/>
      <c r="B83" s="35" t="n"/>
      <c r="C83" s="35" t="n"/>
      <c r="D83" s="11">
        <f>IF(E83="","",IFERROR(VLOOKUP(E83,'Référentiel'!$A$3:$B$11,2,FALSE),""))</f>
        <v/>
      </c>
      <c r="E83" s="2" t="n"/>
      <c r="F83" s="5" t="n"/>
      <c r="G83" s="2" t="n"/>
      <c r="H83" s="2" t="n"/>
      <c r="I83" s="5" t="n"/>
      <c r="J83" s="2" t="n"/>
      <c r="K83" s="2" t="n"/>
      <c r="L83" s="2" t="n"/>
      <c r="M83" s="2" t="n"/>
      <c r="N83" s="6" t="n"/>
      <c r="O83" s="6" t="n"/>
      <c r="P83" s="36" t="n"/>
      <c r="Q83" s="36" t="n"/>
      <c r="R83" s="38">
        <f>IF(AND(P83="",Q83=""),"",SUM(P83:Q83))</f>
        <v/>
      </c>
      <c r="S83" s="35" t="n"/>
      <c r="T83" s="13">
        <f>IF(S83="","",S83-TODAY())</f>
        <v/>
      </c>
      <c r="U83" s="14">
        <f>IF(A83="","",IF(M83="Terminée","Clôturée",IF(S83="","",IF(S83&lt;TODAY(),"En retard",IF(S83-TODAY()&lt;=30,"À planifier","À jour")))))</f>
        <v/>
      </c>
      <c r="V83" s="5" t="n"/>
    </row>
    <row r="84" ht="34" customHeight="1">
      <c r="A84" s="2" t="n"/>
      <c r="B84" s="35" t="n"/>
      <c r="C84" s="35" t="n"/>
      <c r="D84" s="4">
        <f>IF(E84="","",IFERROR(VLOOKUP(E84,'Référentiel'!$A$3:$B$11,2,FALSE),""))</f>
        <v/>
      </c>
      <c r="E84" s="2" t="n"/>
      <c r="F84" s="5" t="n"/>
      <c r="G84" s="2" t="n"/>
      <c r="H84" s="2" t="n"/>
      <c r="I84" s="5" t="n"/>
      <c r="J84" s="2" t="n"/>
      <c r="K84" s="2" t="n"/>
      <c r="L84" s="2" t="n"/>
      <c r="M84" s="2" t="n"/>
      <c r="N84" s="6" t="n"/>
      <c r="O84" s="6" t="n"/>
      <c r="P84" s="36" t="n"/>
      <c r="Q84" s="36" t="n"/>
      <c r="R84" s="37">
        <f>IF(AND(P84="",Q84=""),"",SUM(P84:Q84))</f>
        <v/>
      </c>
      <c r="S84" s="35" t="n"/>
      <c r="T84" s="9">
        <f>IF(S84="","",S84-TODAY())</f>
        <v/>
      </c>
      <c r="U84" s="10">
        <f>IF(A84="","",IF(M84="Terminée","Clôturée",IF(S84="","",IF(S84&lt;TODAY(),"En retard",IF(S84-TODAY()&lt;=30,"À planifier","À jour")))))</f>
        <v/>
      </c>
      <c r="V84" s="5" t="n"/>
    </row>
    <row r="85" ht="34" customHeight="1">
      <c r="A85" s="2" t="n"/>
      <c r="B85" s="35" t="n"/>
      <c r="C85" s="35" t="n"/>
      <c r="D85" s="11">
        <f>IF(E85="","",IFERROR(VLOOKUP(E85,'Référentiel'!$A$3:$B$11,2,FALSE),""))</f>
        <v/>
      </c>
      <c r="E85" s="2" t="n"/>
      <c r="F85" s="5" t="n"/>
      <c r="G85" s="2" t="n"/>
      <c r="H85" s="2" t="n"/>
      <c r="I85" s="5" t="n"/>
      <c r="J85" s="2" t="n"/>
      <c r="K85" s="2" t="n"/>
      <c r="L85" s="2" t="n"/>
      <c r="M85" s="2" t="n"/>
      <c r="N85" s="6" t="n"/>
      <c r="O85" s="6" t="n"/>
      <c r="P85" s="36" t="n"/>
      <c r="Q85" s="36" t="n"/>
      <c r="R85" s="38">
        <f>IF(AND(P85="",Q85=""),"",SUM(P85:Q85))</f>
        <v/>
      </c>
      <c r="S85" s="35" t="n"/>
      <c r="T85" s="13">
        <f>IF(S85="","",S85-TODAY())</f>
        <v/>
      </c>
      <c r="U85" s="14">
        <f>IF(A85="","",IF(M85="Terminée","Clôturée",IF(S85="","",IF(S85&lt;TODAY(),"En retard",IF(S85-TODAY()&lt;=30,"À planifier","À jour")))))</f>
        <v/>
      </c>
      <c r="V85" s="5" t="n"/>
    </row>
    <row r="86" ht="34" customHeight="1">
      <c r="A86" s="2" t="n"/>
      <c r="B86" s="35" t="n"/>
      <c r="C86" s="35" t="n"/>
      <c r="D86" s="4">
        <f>IF(E86="","",IFERROR(VLOOKUP(E86,'Référentiel'!$A$3:$B$11,2,FALSE),""))</f>
        <v/>
      </c>
      <c r="E86" s="2" t="n"/>
      <c r="F86" s="5" t="n"/>
      <c r="G86" s="2" t="n"/>
      <c r="H86" s="2" t="n"/>
      <c r="I86" s="5" t="n"/>
      <c r="J86" s="2" t="n"/>
      <c r="K86" s="2" t="n"/>
      <c r="L86" s="2" t="n"/>
      <c r="M86" s="2" t="n"/>
      <c r="N86" s="6" t="n"/>
      <c r="O86" s="6" t="n"/>
      <c r="P86" s="36" t="n"/>
      <c r="Q86" s="36" t="n"/>
      <c r="R86" s="37">
        <f>IF(AND(P86="",Q86=""),"",SUM(P86:Q86))</f>
        <v/>
      </c>
      <c r="S86" s="35" t="n"/>
      <c r="T86" s="9">
        <f>IF(S86="","",S86-TODAY())</f>
        <v/>
      </c>
      <c r="U86" s="10">
        <f>IF(A86="","",IF(M86="Terminée","Clôturée",IF(S86="","",IF(S86&lt;TODAY(),"En retard",IF(S86-TODAY()&lt;=30,"À planifier","À jour")))))</f>
        <v/>
      </c>
      <c r="V86" s="5" t="n"/>
    </row>
    <row r="87" ht="34" customHeight="1">
      <c r="A87" s="2" t="n"/>
      <c r="B87" s="35" t="n"/>
      <c r="C87" s="35" t="n"/>
      <c r="D87" s="11">
        <f>IF(E87="","",IFERROR(VLOOKUP(E87,'Référentiel'!$A$3:$B$11,2,FALSE),""))</f>
        <v/>
      </c>
      <c r="E87" s="2" t="n"/>
      <c r="F87" s="5" t="n"/>
      <c r="G87" s="2" t="n"/>
      <c r="H87" s="2" t="n"/>
      <c r="I87" s="5" t="n"/>
      <c r="J87" s="2" t="n"/>
      <c r="K87" s="2" t="n"/>
      <c r="L87" s="2" t="n"/>
      <c r="M87" s="2" t="n"/>
      <c r="N87" s="6" t="n"/>
      <c r="O87" s="6" t="n"/>
      <c r="P87" s="36" t="n"/>
      <c r="Q87" s="36" t="n"/>
      <c r="R87" s="38">
        <f>IF(AND(P87="",Q87=""),"",SUM(P87:Q87))</f>
        <v/>
      </c>
      <c r="S87" s="35" t="n"/>
      <c r="T87" s="13">
        <f>IF(S87="","",S87-TODAY())</f>
        <v/>
      </c>
      <c r="U87" s="14">
        <f>IF(A87="","",IF(M87="Terminée","Clôturée",IF(S87="","",IF(S87&lt;TODAY(),"En retard",IF(S87-TODAY()&lt;=30,"À planifier","À jour")))))</f>
        <v/>
      </c>
      <c r="V87" s="5" t="n"/>
    </row>
    <row r="88" ht="34" customHeight="1">
      <c r="A88" s="2" t="n"/>
      <c r="B88" s="35" t="n"/>
      <c r="C88" s="35" t="n"/>
      <c r="D88" s="4">
        <f>IF(E88="","",IFERROR(VLOOKUP(E88,'Référentiel'!$A$3:$B$11,2,FALSE),""))</f>
        <v/>
      </c>
      <c r="E88" s="2" t="n"/>
      <c r="F88" s="5" t="n"/>
      <c r="G88" s="2" t="n"/>
      <c r="H88" s="2" t="n"/>
      <c r="I88" s="5" t="n"/>
      <c r="J88" s="2" t="n"/>
      <c r="K88" s="2" t="n"/>
      <c r="L88" s="2" t="n"/>
      <c r="M88" s="2" t="n"/>
      <c r="N88" s="6" t="n"/>
      <c r="O88" s="6" t="n"/>
      <c r="P88" s="36" t="n"/>
      <c r="Q88" s="36" t="n"/>
      <c r="R88" s="37">
        <f>IF(AND(P88="",Q88=""),"",SUM(P88:Q88))</f>
        <v/>
      </c>
      <c r="S88" s="35" t="n"/>
      <c r="T88" s="9">
        <f>IF(S88="","",S88-TODAY())</f>
        <v/>
      </c>
      <c r="U88" s="10">
        <f>IF(A88="","",IF(M88="Terminée","Clôturée",IF(S88="","",IF(S88&lt;TODAY(),"En retard",IF(S88-TODAY()&lt;=30,"À planifier","À jour")))))</f>
        <v/>
      </c>
      <c r="V88" s="5" t="n"/>
    </row>
    <row r="89" ht="34" customHeight="1">
      <c r="A89" s="2" t="n"/>
      <c r="B89" s="35" t="n"/>
      <c r="C89" s="35" t="n"/>
      <c r="D89" s="11">
        <f>IF(E89="","",IFERROR(VLOOKUP(E89,'Référentiel'!$A$3:$B$11,2,FALSE),""))</f>
        <v/>
      </c>
      <c r="E89" s="2" t="n"/>
      <c r="F89" s="5" t="n"/>
      <c r="G89" s="2" t="n"/>
      <c r="H89" s="2" t="n"/>
      <c r="I89" s="5" t="n"/>
      <c r="J89" s="2" t="n"/>
      <c r="K89" s="2" t="n"/>
      <c r="L89" s="2" t="n"/>
      <c r="M89" s="2" t="n"/>
      <c r="N89" s="6" t="n"/>
      <c r="O89" s="6" t="n"/>
      <c r="P89" s="36" t="n"/>
      <c r="Q89" s="36" t="n"/>
      <c r="R89" s="38">
        <f>IF(AND(P89="",Q89=""),"",SUM(P89:Q89))</f>
        <v/>
      </c>
      <c r="S89" s="35" t="n"/>
      <c r="T89" s="13">
        <f>IF(S89="","",S89-TODAY())</f>
        <v/>
      </c>
      <c r="U89" s="14">
        <f>IF(A89="","",IF(M89="Terminée","Clôturée",IF(S89="","",IF(S89&lt;TODAY(),"En retard",IF(S89-TODAY()&lt;=30,"À planifier","À jour")))))</f>
        <v/>
      </c>
      <c r="V89" s="5" t="n"/>
    </row>
    <row r="90" ht="34" customHeight="1">
      <c r="A90" s="2" t="n"/>
      <c r="B90" s="35" t="n"/>
      <c r="C90" s="35" t="n"/>
      <c r="D90" s="4">
        <f>IF(E90="","",IFERROR(VLOOKUP(E90,'Référentiel'!$A$3:$B$11,2,FALSE),""))</f>
        <v/>
      </c>
      <c r="E90" s="2" t="n"/>
      <c r="F90" s="5" t="n"/>
      <c r="G90" s="2" t="n"/>
      <c r="H90" s="2" t="n"/>
      <c r="I90" s="5" t="n"/>
      <c r="J90" s="2" t="n"/>
      <c r="K90" s="2" t="n"/>
      <c r="L90" s="2" t="n"/>
      <c r="M90" s="2" t="n"/>
      <c r="N90" s="6" t="n"/>
      <c r="O90" s="6" t="n"/>
      <c r="P90" s="36" t="n"/>
      <c r="Q90" s="36" t="n"/>
      <c r="R90" s="37">
        <f>IF(AND(P90="",Q90=""),"",SUM(P90:Q90))</f>
        <v/>
      </c>
      <c r="S90" s="35" t="n"/>
      <c r="T90" s="9">
        <f>IF(S90="","",S90-TODAY())</f>
        <v/>
      </c>
      <c r="U90" s="10">
        <f>IF(A90="","",IF(M90="Terminée","Clôturée",IF(S90="","",IF(S90&lt;TODAY(),"En retard",IF(S90-TODAY()&lt;=30,"À planifier","À jour")))))</f>
        <v/>
      </c>
      <c r="V90" s="5" t="n"/>
    </row>
    <row r="91" ht="34" customHeight="1">
      <c r="A91" s="2" t="n"/>
      <c r="B91" s="35" t="n"/>
      <c r="C91" s="35" t="n"/>
      <c r="D91" s="11">
        <f>IF(E91="","",IFERROR(VLOOKUP(E91,'Référentiel'!$A$3:$B$11,2,FALSE),""))</f>
        <v/>
      </c>
      <c r="E91" s="2" t="n"/>
      <c r="F91" s="5" t="n"/>
      <c r="G91" s="2" t="n"/>
      <c r="H91" s="2" t="n"/>
      <c r="I91" s="5" t="n"/>
      <c r="J91" s="2" t="n"/>
      <c r="K91" s="2" t="n"/>
      <c r="L91" s="2" t="n"/>
      <c r="M91" s="2" t="n"/>
      <c r="N91" s="6" t="n"/>
      <c r="O91" s="6" t="n"/>
      <c r="P91" s="36" t="n"/>
      <c r="Q91" s="36" t="n"/>
      <c r="R91" s="38">
        <f>IF(AND(P91="",Q91=""),"",SUM(P91:Q91))</f>
        <v/>
      </c>
      <c r="S91" s="35" t="n"/>
      <c r="T91" s="13">
        <f>IF(S91="","",S91-TODAY())</f>
        <v/>
      </c>
      <c r="U91" s="14">
        <f>IF(A91="","",IF(M91="Terminée","Clôturée",IF(S91="","",IF(S91&lt;TODAY(),"En retard",IF(S91-TODAY()&lt;=30,"À planifier","À jour")))))</f>
        <v/>
      </c>
      <c r="V91" s="5" t="n"/>
    </row>
    <row r="92" ht="34" customHeight="1">
      <c r="A92" s="2" t="n"/>
      <c r="B92" s="35" t="n"/>
      <c r="C92" s="35" t="n"/>
      <c r="D92" s="4">
        <f>IF(E92="","",IFERROR(VLOOKUP(E92,'Référentiel'!$A$3:$B$11,2,FALSE),""))</f>
        <v/>
      </c>
      <c r="E92" s="2" t="n"/>
      <c r="F92" s="5" t="n"/>
      <c r="G92" s="2" t="n"/>
      <c r="H92" s="2" t="n"/>
      <c r="I92" s="5" t="n"/>
      <c r="J92" s="2" t="n"/>
      <c r="K92" s="2" t="n"/>
      <c r="L92" s="2" t="n"/>
      <c r="M92" s="2" t="n"/>
      <c r="N92" s="6" t="n"/>
      <c r="O92" s="6" t="n"/>
      <c r="P92" s="36" t="n"/>
      <c r="Q92" s="36" t="n"/>
      <c r="R92" s="37">
        <f>IF(AND(P92="",Q92=""),"",SUM(P92:Q92))</f>
        <v/>
      </c>
      <c r="S92" s="35" t="n"/>
      <c r="T92" s="9">
        <f>IF(S92="","",S92-TODAY())</f>
        <v/>
      </c>
      <c r="U92" s="10">
        <f>IF(A92="","",IF(M92="Terminée","Clôturée",IF(S92="","",IF(S92&lt;TODAY(),"En retard",IF(S92-TODAY()&lt;=30,"À planifier","À jour")))))</f>
        <v/>
      </c>
      <c r="V92" s="5" t="n"/>
    </row>
    <row r="93" ht="34" customHeight="1">
      <c r="A93" s="2" t="n"/>
      <c r="B93" s="35" t="n"/>
      <c r="C93" s="35" t="n"/>
      <c r="D93" s="11">
        <f>IF(E93="","",IFERROR(VLOOKUP(E93,'Référentiel'!$A$3:$B$11,2,FALSE),""))</f>
        <v/>
      </c>
      <c r="E93" s="2" t="n"/>
      <c r="F93" s="5" t="n"/>
      <c r="G93" s="2" t="n"/>
      <c r="H93" s="2" t="n"/>
      <c r="I93" s="5" t="n"/>
      <c r="J93" s="2" t="n"/>
      <c r="K93" s="2" t="n"/>
      <c r="L93" s="2" t="n"/>
      <c r="M93" s="2" t="n"/>
      <c r="N93" s="6" t="n"/>
      <c r="O93" s="6" t="n"/>
      <c r="P93" s="36" t="n"/>
      <c r="Q93" s="36" t="n"/>
      <c r="R93" s="38">
        <f>IF(AND(P93="",Q93=""),"",SUM(P93:Q93))</f>
        <v/>
      </c>
      <c r="S93" s="35" t="n"/>
      <c r="T93" s="13">
        <f>IF(S93="","",S93-TODAY())</f>
        <v/>
      </c>
      <c r="U93" s="14">
        <f>IF(A93="","",IF(M93="Terminée","Clôturée",IF(S93="","",IF(S93&lt;TODAY(),"En retard",IF(S93-TODAY()&lt;=30,"À planifier","À jour")))))</f>
        <v/>
      </c>
      <c r="V93" s="5" t="n"/>
    </row>
    <row r="94" ht="34" customHeight="1">
      <c r="A94" s="2" t="n"/>
      <c r="B94" s="35" t="n"/>
      <c r="C94" s="35" t="n"/>
      <c r="D94" s="4">
        <f>IF(E94="","",IFERROR(VLOOKUP(E94,'Référentiel'!$A$3:$B$11,2,FALSE),""))</f>
        <v/>
      </c>
      <c r="E94" s="2" t="n"/>
      <c r="F94" s="5" t="n"/>
      <c r="G94" s="2" t="n"/>
      <c r="H94" s="2" t="n"/>
      <c r="I94" s="5" t="n"/>
      <c r="J94" s="2" t="n"/>
      <c r="K94" s="2" t="n"/>
      <c r="L94" s="2" t="n"/>
      <c r="M94" s="2" t="n"/>
      <c r="N94" s="6" t="n"/>
      <c r="O94" s="6" t="n"/>
      <c r="P94" s="36" t="n"/>
      <c r="Q94" s="36" t="n"/>
      <c r="R94" s="37">
        <f>IF(AND(P94="",Q94=""),"",SUM(P94:Q94))</f>
        <v/>
      </c>
      <c r="S94" s="35" t="n"/>
      <c r="T94" s="9">
        <f>IF(S94="","",S94-TODAY())</f>
        <v/>
      </c>
      <c r="U94" s="10">
        <f>IF(A94="","",IF(M94="Terminée","Clôturée",IF(S94="","",IF(S94&lt;TODAY(),"En retard",IF(S94-TODAY()&lt;=30,"À planifier","À jour")))))</f>
        <v/>
      </c>
      <c r="V94" s="5" t="n"/>
    </row>
    <row r="95" ht="34" customHeight="1">
      <c r="A95" s="2" t="n"/>
      <c r="B95" s="35" t="n"/>
      <c r="C95" s="35" t="n"/>
      <c r="D95" s="11">
        <f>IF(E95="","",IFERROR(VLOOKUP(E95,'Référentiel'!$A$3:$B$11,2,FALSE),""))</f>
        <v/>
      </c>
      <c r="E95" s="2" t="n"/>
      <c r="F95" s="5" t="n"/>
      <c r="G95" s="2" t="n"/>
      <c r="H95" s="2" t="n"/>
      <c r="I95" s="5" t="n"/>
      <c r="J95" s="2" t="n"/>
      <c r="K95" s="2" t="n"/>
      <c r="L95" s="2" t="n"/>
      <c r="M95" s="2" t="n"/>
      <c r="N95" s="6" t="n"/>
      <c r="O95" s="6" t="n"/>
      <c r="P95" s="36" t="n"/>
      <c r="Q95" s="36" t="n"/>
      <c r="R95" s="38">
        <f>IF(AND(P95="",Q95=""),"",SUM(P95:Q95))</f>
        <v/>
      </c>
      <c r="S95" s="35" t="n"/>
      <c r="T95" s="13">
        <f>IF(S95="","",S95-TODAY())</f>
        <v/>
      </c>
      <c r="U95" s="14">
        <f>IF(A95="","",IF(M95="Terminée","Clôturée",IF(S95="","",IF(S95&lt;TODAY(),"En retard",IF(S95-TODAY()&lt;=30,"À planifier","À jour")))))</f>
        <v/>
      </c>
      <c r="V95" s="5" t="n"/>
    </row>
    <row r="96" ht="34" customHeight="1">
      <c r="A96" s="2" t="n"/>
      <c r="B96" s="35" t="n"/>
      <c r="C96" s="35" t="n"/>
      <c r="D96" s="4">
        <f>IF(E96="","",IFERROR(VLOOKUP(E96,'Référentiel'!$A$3:$B$11,2,FALSE),""))</f>
        <v/>
      </c>
      <c r="E96" s="2" t="n"/>
      <c r="F96" s="5" t="n"/>
      <c r="G96" s="2" t="n"/>
      <c r="H96" s="2" t="n"/>
      <c r="I96" s="5" t="n"/>
      <c r="J96" s="2" t="n"/>
      <c r="K96" s="2" t="n"/>
      <c r="L96" s="2" t="n"/>
      <c r="M96" s="2" t="n"/>
      <c r="N96" s="6" t="n"/>
      <c r="O96" s="6" t="n"/>
      <c r="P96" s="36" t="n"/>
      <c r="Q96" s="36" t="n"/>
      <c r="R96" s="37">
        <f>IF(AND(P96="",Q96=""),"",SUM(P96:Q96))</f>
        <v/>
      </c>
      <c r="S96" s="35" t="n"/>
      <c r="T96" s="9">
        <f>IF(S96="","",S96-TODAY())</f>
        <v/>
      </c>
      <c r="U96" s="10">
        <f>IF(A96="","",IF(M96="Terminée","Clôturée",IF(S96="","",IF(S96&lt;TODAY(),"En retard",IF(S96-TODAY()&lt;=30,"À planifier","À jour")))))</f>
        <v/>
      </c>
      <c r="V96" s="5" t="n"/>
    </row>
    <row r="97" ht="34" customHeight="1">
      <c r="A97" s="2" t="n"/>
      <c r="B97" s="35" t="n"/>
      <c r="C97" s="35" t="n"/>
      <c r="D97" s="11">
        <f>IF(E97="","",IFERROR(VLOOKUP(E97,'Référentiel'!$A$3:$B$11,2,FALSE),""))</f>
        <v/>
      </c>
      <c r="E97" s="2" t="n"/>
      <c r="F97" s="5" t="n"/>
      <c r="G97" s="2" t="n"/>
      <c r="H97" s="2" t="n"/>
      <c r="I97" s="5" t="n"/>
      <c r="J97" s="2" t="n"/>
      <c r="K97" s="2" t="n"/>
      <c r="L97" s="2" t="n"/>
      <c r="M97" s="2" t="n"/>
      <c r="N97" s="6" t="n"/>
      <c r="O97" s="6" t="n"/>
      <c r="P97" s="36" t="n"/>
      <c r="Q97" s="36" t="n"/>
      <c r="R97" s="38">
        <f>IF(AND(P97="",Q97=""),"",SUM(P97:Q97))</f>
        <v/>
      </c>
      <c r="S97" s="35" t="n"/>
      <c r="T97" s="13">
        <f>IF(S97="","",S97-TODAY())</f>
        <v/>
      </c>
      <c r="U97" s="14">
        <f>IF(A97="","",IF(M97="Terminée","Clôturée",IF(S97="","",IF(S97&lt;TODAY(),"En retard",IF(S97-TODAY()&lt;=30,"À planifier","À jour")))))</f>
        <v/>
      </c>
      <c r="V97" s="5" t="n"/>
    </row>
    <row r="98" ht="34" customHeight="1">
      <c r="A98" s="2" t="n"/>
      <c r="B98" s="35" t="n"/>
      <c r="C98" s="35" t="n"/>
      <c r="D98" s="4">
        <f>IF(E98="","",IFERROR(VLOOKUP(E98,'Référentiel'!$A$3:$B$11,2,FALSE),""))</f>
        <v/>
      </c>
      <c r="E98" s="2" t="n"/>
      <c r="F98" s="5" t="n"/>
      <c r="G98" s="2" t="n"/>
      <c r="H98" s="2" t="n"/>
      <c r="I98" s="5" t="n"/>
      <c r="J98" s="2" t="n"/>
      <c r="K98" s="2" t="n"/>
      <c r="L98" s="2" t="n"/>
      <c r="M98" s="2" t="n"/>
      <c r="N98" s="6" t="n"/>
      <c r="O98" s="6" t="n"/>
      <c r="P98" s="36" t="n"/>
      <c r="Q98" s="36" t="n"/>
      <c r="R98" s="37">
        <f>IF(AND(P98="",Q98=""),"",SUM(P98:Q98))</f>
        <v/>
      </c>
      <c r="S98" s="35" t="n"/>
      <c r="T98" s="9">
        <f>IF(S98="","",S98-TODAY())</f>
        <v/>
      </c>
      <c r="U98" s="10">
        <f>IF(A98="","",IF(M98="Terminée","Clôturée",IF(S98="","",IF(S98&lt;TODAY(),"En retard",IF(S98-TODAY()&lt;=30,"À planifier","À jour")))))</f>
        <v/>
      </c>
      <c r="V98" s="5" t="n"/>
    </row>
    <row r="99" ht="34" customHeight="1">
      <c r="A99" s="2" t="n"/>
      <c r="B99" s="35" t="n"/>
      <c r="C99" s="35" t="n"/>
      <c r="D99" s="11">
        <f>IF(E99="","",IFERROR(VLOOKUP(E99,'Référentiel'!$A$3:$B$11,2,FALSE),""))</f>
        <v/>
      </c>
      <c r="E99" s="2" t="n"/>
      <c r="F99" s="5" t="n"/>
      <c r="G99" s="2" t="n"/>
      <c r="H99" s="2" t="n"/>
      <c r="I99" s="5" t="n"/>
      <c r="J99" s="2" t="n"/>
      <c r="K99" s="2" t="n"/>
      <c r="L99" s="2" t="n"/>
      <c r="M99" s="2" t="n"/>
      <c r="N99" s="6" t="n"/>
      <c r="O99" s="6" t="n"/>
      <c r="P99" s="36" t="n"/>
      <c r="Q99" s="36" t="n"/>
      <c r="R99" s="38">
        <f>IF(AND(P99="",Q99=""),"",SUM(P99:Q99))</f>
        <v/>
      </c>
      <c r="S99" s="35" t="n"/>
      <c r="T99" s="13">
        <f>IF(S99="","",S99-TODAY())</f>
        <v/>
      </c>
      <c r="U99" s="14">
        <f>IF(A99="","",IF(M99="Terminée","Clôturée",IF(S99="","",IF(S99&lt;TODAY(),"En retard",IF(S99-TODAY()&lt;=30,"À planifier","À jour")))))</f>
        <v/>
      </c>
      <c r="V99" s="5" t="n"/>
    </row>
    <row r="100" ht="34" customHeight="1">
      <c r="A100" s="2" t="n"/>
      <c r="B100" s="35" t="n"/>
      <c r="C100" s="35" t="n"/>
      <c r="D100" s="4">
        <f>IF(E100="","",IFERROR(VLOOKUP(E100,'Référentiel'!$A$3:$B$11,2,FALSE),""))</f>
        <v/>
      </c>
      <c r="E100" s="2" t="n"/>
      <c r="F100" s="5" t="n"/>
      <c r="G100" s="2" t="n"/>
      <c r="H100" s="2" t="n"/>
      <c r="I100" s="5" t="n"/>
      <c r="J100" s="2" t="n"/>
      <c r="K100" s="2" t="n"/>
      <c r="L100" s="2" t="n"/>
      <c r="M100" s="2" t="n"/>
      <c r="N100" s="6" t="n"/>
      <c r="O100" s="6" t="n"/>
      <c r="P100" s="36" t="n"/>
      <c r="Q100" s="36" t="n"/>
      <c r="R100" s="37">
        <f>IF(AND(P100="",Q100=""),"",SUM(P100:Q100))</f>
        <v/>
      </c>
      <c r="S100" s="35" t="n"/>
      <c r="T100" s="9">
        <f>IF(S100="","",S100-TODAY())</f>
        <v/>
      </c>
      <c r="U100" s="10">
        <f>IF(A100="","",IF(M100="Terminée","Clôturée",IF(S100="","",IF(S100&lt;TODAY(),"En retard",IF(S100-TODAY()&lt;=30,"À planifier","À jour")))))</f>
        <v/>
      </c>
      <c r="V100" s="5" t="n"/>
    </row>
    <row r="101" ht="34" customHeight="1">
      <c r="A101" s="2" t="n"/>
      <c r="B101" s="35" t="n"/>
      <c r="C101" s="35" t="n"/>
      <c r="D101" s="11">
        <f>IF(E101="","",IFERROR(VLOOKUP(E101,'Référentiel'!$A$3:$B$11,2,FALSE),""))</f>
        <v/>
      </c>
      <c r="E101" s="2" t="n"/>
      <c r="F101" s="5" t="n"/>
      <c r="G101" s="2" t="n"/>
      <c r="H101" s="2" t="n"/>
      <c r="I101" s="5" t="n"/>
      <c r="J101" s="2" t="n"/>
      <c r="K101" s="2" t="n"/>
      <c r="L101" s="2" t="n"/>
      <c r="M101" s="2" t="n"/>
      <c r="N101" s="6" t="n"/>
      <c r="O101" s="6" t="n"/>
      <c r="P101" s="36" t="n"/>
      <c r="Q101" s="36" t="n"/>
      <c r="R101" s="38">
        <f>IF(AND(P101="",Q101=""),"",SUM(P101:Q101))</f>
        <v/>
      </c>
      <c r="S101" s="35" t="n"/>
      <c r="T101" s="13">
        <f>IF(S101="","",S101-TODAY())</f>
        <v/>
      </c>
      <c r="U101" s="14">
        <f>IF(A101="","",IF(M101="Terminée","Clôturée",IF(S101="","",IF(S101&lt;TODAY(),"En retard",IF(S101-TODAY()&lt;=30,"À planifier","À jour")))))</f>
        <v/>
      </c>
      <c r="V101" s="5" t="n"/>
    </row>
    <row r="102" ht="24" customHeight="1">
      <c r="A102" s="15" t="inlineStr">
        <is>
          <t>TOTAL MAINTENANCE</t>
        </is>
      </c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5" t="inlineStr">
        <is>
          <t>Terminées</t>
        </is>
      </c>
      <c r="M102" s="15">
        <f>COUNTIF(M2:M101,"Terminée")</f>
        <v/>
      </c>
      <c r="N102" s="16">
        <f>SUM(N2:N101)</f>
        <v/>
      </c>
      <c r="O102" s="16">
        <f>IFERROR(AVERAGE(O2:O101),0)</f>
        <v/>
      </c>
      <c r="P102" s="15" t="n"/>
      <c r="Q102" s="15" t="n"/>
      <c r="R102" s="39">
        <f>SUM(R2:R101)</f>
        <v/>
      </c>
      <c r="S102" s="15" t="inlineStr">
        <is>
          <t>Taux clôture</t>
        </is>
      </c>
      <c r="T102" s="40">
        <f>IFERROR(COUNTIF(M2:M101,"Terminée")/COUNTA(A2:A101),0)</f>
        <v/>
      </c>
      <c r="U102" s="15" t="n"/>
      <c r="V102" s="15" t="n"/>
    </row>
  </sheetData>
  <autoFilter ref="A1:V101"/>
  <conditionalFormatting sqref="U2:U101">
    <cfRule type="expression" priority="1" dxfId="0">
      <formula>U2="En retard"</formula>
    </cfRule>
    <cfRule type="expression" priority="2" dxfId="1">
      <formula>U2="À planifier"</formula>
    </cfRule>
    <cfRule type="expression" priority="3" dxfId="2">
      <formula>U2="Clôturée"</formula>
    </cfRule>
  </conditionalFormatting>
  <conditionalFormatting sqref="M2:M101">
    <cfRule type="expression" priority="4" dxfId="2">
      <formula>M2="Terminée"</formula>
    </cfRule>
  </conditionalFormatting>
  <conditionalFormatting sqref="L2:L101">
    <cfRule type="expression" priority="5" dxfId="3">
      <formula>L2="Critique"</formula>
    </cfRule>
  </conditionalFormatting>
  <dataValidations count="10">
    <dataValidation sqref="E2:E101" showErrorMessage="1" showInputMessage="1" allowBlank="1" errorTitle="Code machine non valide" error="Sélectionnez un code présent dans le référentiel." type="list">
      <formula1>='Référentiel'!$A$3:$A$11</formula1>
    </dataValidation>
    <dataValidation sqref="B2:C101" showErrorMessage="1" showInputMessage="1" allowBlank="1" errorTitle="Date non valide" error="Saisissez une date au format JJ/MM/AAAA." type="date" operator="between">
      <formula1>DATE(2000,1,1)</formula1>
      <formula2>DATE(2100,12,31)</formula2>
    </dataValidation>
    <dataValidation sqref="S2:S101" showErrorMessage="1" showInputMessage="1" allowBlank="1" errorTitle="Échéance non valide" error="Saisissez une date au format JJ/MM/AAAA." type="date" operator="between">
      <formula1>DATE(2000,1,1)</formula1>
      <formula2>DATE(2100,12,31)</formula2>
    </dataValidation>
    <dataValidation sqref="H2:H101" showErrorMessage="1" showInputMessage="1" allowBlank="1" type="list">
      <formula1>"Préventive,Curative,Contrôle"</formula1>
    </dataValidation>
    <dataValidation sqref="J2:J101" showErrorMessage="1" showInputMessage="1" allowBlank="1" type="list">
      <formula1>"Camille Martin,Lucas Bernard,Emma Dubois,Hugo Morel,Léa Petit,Louis Robert,Chloé Richard,Nathan Durand,Manon Leroy"</formula1>
    </dataValidation>
    <dataValidation sqref="K2:K101" showErrorMessage="1" showInputMessage="1" allowBlank="1" type="list">
      <formula1>"Atelier interne,TechniServ,ProMaintenance,HydroFrance,Énergie Industrie"</formula1>
    </dataValidation>
    <dataValidation sqref="L2:L101" showErrorMessage="1" showInputMessage="1" allowBlank="1" type="list">
      <formula1>"Basse,Normale,Haute,Critique"</formula1>
    </dataValidation>
    <dataValidation sqref="M2:M101" showErrorMessage="1" showInputMessage="1" allowBlank="1" type="list">
      <formula1>"Planifiée,En cours,Terminée,En attente"</formula1>
    </dataValidation>
    <dataValidation sqref="N2:O101" showErrorMessage="1" showInputMessage="1" allowBlank="1" type="decimal" operator="greaterThanOrEqual">
      <formula1>0</formula1>
    </dataValidation>
    <dataValidation sqref="P2:Q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6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4" customWidth="1" min="3" max="3"/>
    <col width="24" customWidth="1" min="4" max="4"/>
    <col width="16" customWidth="1" min="5" max="5"/>
    <col width="4" customWidth="1" min="6" max="6"/>
    <col width="16" customWidth="1" min="7" max="7"/>
    <col width="15" customWidth="1" min="8" max="8"/>
    <col width="4" customWidth="1" min="9" max="9"/>
    <col width="28" customWidth="1" min="10" max="10"/>
    <col width="17" customWidth="1" min="11" max="11"/>
    <col width="4" customWidth="1" min="12" max="12"/>
    <col width="24" customWidth="1" min="13" max="13"/>
    <col width="15" customWidth="1" min="14" max="14"/>
    <col width="18" customWidth="1" min="15" max="15"/>
  </cols>
  <sheetData>
    <row r="1" ht="30" customHeight="1">
      <c r="A1" s="19" t="inlineStr">
        <is>
          <t>TABLEAU DE BORD — SUIVI MAINTENANCE</t>
        </is>
      </c>
    </row>
    <row r="2"/>
    <row r="3" ht="25" customHeight="1">
      <c r="A3" s="20" t="inlineStr">
        <is>
          <t>Nombre total d’interventions</t>
        </is>
      </c>
      <c r="B3" s="21">
        <f>COUNTA('Suivi maintenance'!$A$2:$A$101)</f>
        <v/>
      </c>
      <c r="D3" s="22" t="inlineStr">
        <is>
          <t>Type de maintenance</t>
        </is>
      </c>
      <c r="E3" s="22" t="inlineStr">
        <is>
          <t>Nombre d’interventions</t>
        </is>
      </c>
      <c r="G3" s="22" t="inlineStr">
        <is>
          <t>Mois</t>
        </is>
      </c>
      <c r="H3" s="22" t="inlineStr">
        <is>
          <t>Interventions</t>
        </is>
      </c>
      <c r="J3" s="22" t="inlineStr">
        <is>
          <t>Machine</t>
        </is>
      </c>
      <c r="K3" s="22" t="inlineStr">
        <is>
          <t>Coût total</t>
        </is>
      </c>
      <c r="M3" s="22" t="inlineStr">
        <is>
          <t>Technicien responsable</t>
        </is>
      </c>
      <c r="N3" s="22" t="inlineStr">
        <is>
          <t>Interventions</t>
        </is>
      </c>
      <c r="O3" s="22" t="inlineStr">
        <is>
          <t>Coût cumulé</t>
        </is>
      </c>
    </row>
    <row r="4" ht="25" customHeight="1">
      <c r="A4" s="20" t="inlineStr">
        <is>
          <t>Interventions terminées</t>
        </is>
      </c>
      <c r="B4" s="23">
        <f>COUNTIF('Suivi maintenance'!$M$2:$M$101,"Terminée")</f>
        <v/>
      </c>
      <c r="D4" s="10" t="inlineStr">
        <is>
          <t>Préventive</t>
        </is>
      </c>
      <c r="E4" s="10">
        <f>COUNTIF('Suivi maintenance'!$H$2:$H$101,D4)</f>
        <v/>
      </c>
      <c r="G4" s="41">
        <f>DATE($H$16,1,1)</f>
        <v/>
      </c>
      <c r="H4" s="10">
        <f>COUNTIFS('Suivi maintenance'!$C$2:$C$101,"&gt;="&amp;G4,'Suivi maintenance'!$C$2:$C$101,"&lt;"&amp;DATE($H$16,2,1))</f>
        <v/>
      </c>
      <c r="J4" s="4">
        <f>'Référentiel'!$B$3</f>
        <v/>
      </c>
      <c r="K4" s="37">
        <f>SUMIF('Suivi maintenance'!$D$2:$D$101,J4,'Suivi maintenance'!$R$2:$R$101)</f>
        <v/>
      </c>
      <c r="M4" s="4" t="inlineStr">
        <is>
          <t>Camille Martin</t>
        </is>
      </c>
      <c r="N4" s="10">
        <f>COUNTIF('Suivi maintenance'!$J$2:$J$101,M4)</f>
        <v/>
      </c>
      <c r="O4" s="42">
        <f>SUMIF('Suivi maintenance'!$J$2:$J$101,M4,'Suivi maintenance'!$R$2:$R$101)</f>
        <v/>
      </c>
    </row>
    <row r="5" ht="25" customHeight="1">
      <c r="A5" s="20" t="inlineStr">
        <is>
          <t>Taux de clôture</t>
        </is>
      </c>
      <c r="B5" s="43">
        <f>IFERROR(B4/B3,0)</f>
        <v/>
      </c>
      <c r="D5" s="14" t="inlineStr">
        <is>
          <t>Curative</t>
        </is>
      </c>
      <c r="E5" s="14">
        <f>COUNTIF('Suivi maintenance'!$H$2:$H$101,D5)</f>
        <v/>
      </c>
      <c r="G5" s="44">
        <f>DATE($H$16,2,1)</f>
        <v/>
      </c>
      <c r="H5" s="14">
        <f>COUNTIFS('Suivi maintenance'!$C$2:$C$101,"&gt;="&amp;G5,'Suivi maintenance'!$C$2:$C$101,"&lt;"&amp;DATE($H$16,3,1))</f>
        <v/>
      </c>
      <c r="J5" s="11">
        <f>'Référentiel'!$B$4</f>
        <v/>
      </c>
      <c r="K5" s="38">
        <f>SUMIF('Suivi maintenance'!$D$2:$D$101,J5,'Suivi maintenance'!$R$2:$R$101)</f>
        <v/>
      </c>
      <c r="M5" s="11" t="inlineStr">
        <is>
          <t>Lucas Bernard</t>
        </is>
      </c>
      <c r="N5" s="14">
        <f>COUNTIF('Suivi maintenance'!$J$2:$J$101,M5)</f>
        <v/>
      </c>
      <c r="O5" s="45">
        <f>SUMIF('Suivi maintenance'!$J$2:$J$101,M5,'Suivi maintenance'!$R$2:$R$101)</f>
        <v/>
      </c>
    </row>
    <row r="6" ht="25" customHeight="1">
      <c r="A6" s="20" t="inlineStr">
        <is>
          <t>Coût total</t>
        </is>
      </c>
      <c r="B6" s="46">
        <f>SUM('Suivi maintenance'!$R$2:$R$101)</f>
        <v/>
      </c>
      <c r="D6" s="10" t="inlineStr">
        <is>
          <t>Contrôle</t>
        </is>
      </c>
      <c r="E6" s="10">
        <f>COUNTIF('Suivi maintenance'!$H$2:$H$101,D6)</f>
        <v/>
      </c>
      <c r="G6" s="41">
        <f>DATE($H$16,3,1)</f>
        <v/>
      </c>
      <c r="H6" s="10">
        <f>COUNTIFS('Suivi maintenance'!$C$2:$C$101,"&gt;="&amp;G6,'Suivi maintenance'!$C$2:$C$101,"&lt;"&amp;DATE($H$16,4,1))</f>
        <v/>
      </c>
      <c r="J6" s="4">
        <f>'Référentiel'!$B$5</f>
        <v/>
      </c>
      <c r="K6" s="37">
        <f>SUMIF('Suivi maintenance'!$D$2:$D$101,J6,'Suivi maintenance'!$R$2:$R$101)</f>
        <v/>
      </c>
      <c r="M6" s="4" t="inlineStr">
        <is>
          <t>Emma Dubois</t>
        </is>
      </c>
      <c r="N6" s="10">
        <f>COUNTIF('Suivi maintenance'!$J$2:$J$101,M6)</f>
        <v/>
      </c>
      <c r="O6" s="42">
        <f>SUMIF('Suivi maintenance'!$J$2:$J$101,M6,'Suivi maintenance'!$R$2:$R$101)</f>
        <v/>
      </c>
    </row>
    <row r="7" ht="25" customHeight="1">
      <c r="A7" s="20" t="inlineStr">
        <is>
          <t>Coût moyen par intervention</t>
        </is>
      </c>
      <c r="B7" s="47">
        <f>IFERROR(AVERAGE('Suivi maintenance'!$R$2:$R$101),0)</f>
        <v/>
      </c>
      <c r="G7" s="44">
        <f>DATE($H$16,4,1)</f>
        <v/>
      </c>
      <c r="H7" s="14">
        <f>COUNTIFS('Suivi maintenance'!$C$2:$C$101,"&gt;="&amp;G7,'Suivi maintenance'!$C$2:$C$101,"&lt;"&amp;DATE($H$16,5,1))</f>
        <v/>
      </c>
      <c r="J7" s="11">
        <f>'Référentiel'!$B$6</f>
        <v/>
      </c>
      <c r="K7" s="38">
        <f>SUMIF('Suivi maintenance'!$D$2:$D$101,J7,'Suivi maintenance'!$R$2:$R$101)</f>
        <v/>
      </c>
      <c r="M7" s="11" t="inlineStr">
        <is>
          <t>Hugo Morel</t>
        </is>
      </c>
      <c r="N7" s="14">
        <f>COUNTIF('Suivi maintenance'!$J$2:$J$101,M7)</f>
        <v/>
      </c>
      <c r="O7" s="45">
        <f>SUMIF('Suivi maintenance'!$J$2:$J$101,M7,'Suivi maintenance'!$R$2:$R$101)</f>
        <v/>
      </c>
    </row>
    <row r="8" ht="25" customHeight="1">
      <c r="A8" s="20" t="inlineStr">
        <is>
          <t>Total heures d’arrêt</t>
        </is>
      </c>
      <c r="B8" s="31">
        <f>SUM('Suivi maintenance'!$N$2:$N$101)</f>
        <v/>
      </c>
      <c r="G8" s="41">
        <f>DATE($H$16,5,1)</f>
        <v/>
      </c>
      <c r="H8" s="10">
        <f>COUNTIFS('Suivi maintenance'!$C$2:$C$101,"&gt;="&amp;G8,'Suivi maintenance'!$C$2:$C$101,"&lt;"&amp;DATE($H$16,6,1))</f>
        <v/>
      </c>
      <c r="J8" s="4">
        <f>'Référentiel'!$B$7</f>
        <v/>
      </c>
      <c r="K8" s="37">
        <f>SUMIF('Suivi maintenance'!$D$2:$D$101,J8,'Suivi maintenance'!$R$2:$R$101)</f>
        <v/>
      </c>
      <c r="M8" s="4" t="inlineStr">
        <is>
          <t>Léa Petit</t>
        </is>
      </c>
      <c r="N8" s="10">
        <f>COUNTIF('Suivi maintenance'!$J$2:$J$101,M8)</f>
        <v/>
      </c>
      <c r="O8" s="42">
        <f>SUMIF('Suivi maintenance'!$J$2:$J$101,M8,'Suivi maintenance'!$R$2:$R$101)</f>
        <v/>
      </c>
    </row>
    <row r="9" ht="25" customHeight="1">
      <c r="A9" s="20" t="inlineStr">
        <is>
          <t>Interventions en retard</t>
        </is>
      </c>
      <c r="B9" s="32">
        <f>COUNTIF('Suivi maintenance'!$U$2:$U$101,"En retard")</f>
        <v/>
      </c>
      <c r="G9" s="44">
        <f>DATE($H$16,6,1)</f>
        <v/>
      </c>
      <c r="H9" s="14">
        <f>COUNTIFS('Suivi maintenance'!$C$2:$C$101,"&gt;="&amp;G9,'Suivi maintenance'!$C$2:$C$101,"&lt;"&amp;DATE($H$16,7,1))</f>
        <v/>
      </c>
      <c r="J9" s="11">
        <f>'Référentiel'!$B$8</f>
        <v/>
      </c>
      <c r="K9" s="38">
        <f>SUMIF('Suivi maintenance'!$D$2:$D$101,J9,'Suivi maintenance'!$R$2:$R$101)</f>
        <v/>
      </c>
      <c r="M9" s="11" t="inlineStr">
        <is>
          <t>Louis Robert</t>
        </is>
      </c>
      <c r="N9" s="14">
        <f>COUNTIF('Suivi maintenance'!$J$2:$J$101,M9)</f>
        <v/>
      </c>
      <c r="O9" s="45">
        <f>SUMIF('Suivi maintenance'!$J$2:$J$101,M9,'Suivi maintenance'!$R$2:$R$101)</f>
        <v/>
      </c>
    </row>
    <row r="10">
      <c r="G10" s="41">
        <f>DATE($H$16,7,1)</f>
        <v/>
      </c>
      <c r="H10" s="10">
        <f>COUNTIFS('Suivi maintenance'!$C$2:$C$101,"&gt;="&amp;G10,'Suivi maintenance'!$C$2:$C$101,"&lt;"&amp;DATE($H$16,8,1))</f>
        <v/>
      </c>
      <c r="J10" s="4">
        <f>'Référentiel'!$B$9</f>
        <v/>
      </c>
      <c r="K10" s="37">
        <f>SUMIF('Suivi maintenance'!$D$2:$D$101,J10,'Suivi maintenance'!$R$2:$R$101)</f>
        <v/>
      </c>
      <c r="M10" s="4" t="inlineStr">
        <is>
          <t>Chloé Richard</t>
        </is>
      </c>
      <c r="N10" s="10">
        <f>COUNTIF('Suivi maintenance'!$J$2:$J$101,M10)</f>
        <v/>
      </c>
      <c r="O10" s="42">
        <f>SUMIF('Suivi maintenance'!$J$2:$J$101,M10,'Suivi maintenance'!$R$2:$R$101)</f>
        <v/>
      </c>
    </row>
    <row r="11">
      <c r="G11" s="44">
        <f>DATE($H$16,8,1)</f>
        <v/>
      </c>
      <c r="H11" s="14">
        <f>COUNTIFS('Suivi maintenance'!$C$2:$C$101,"&gt;="&amp;G11,'Suivi maintenance'!$C$2:$C$101,"&lt;"&amp;DATE($H$16,9,1))</f>
        <v/>
      </c>
      <c r="J11" s="11">
        <f>'Référentiel'!$B$10</f>
        <v/>
      </c>
      <c r="K11" s="38">
        <f>SUMIF('Suivi maintenance'!$D$2:$D$101,J11,'Suivi maintenance'!$R$2:$R$101)</f>
        <v/>
      </c>
      <c r="M11" s="11" t="inlineStr">
        <is>
          <t>Nathan Durand</t>
        </is>
      </c>
      <c r="N11" s="14">
        <f>COUNTIF('Suivi maintenance'!$J$2:$J$101,M11)</f>
        <v/>
      </c>
      <c r="O11" s="45">
        <f>SUMIF('Suivi maintenance'!$J$2:$J$101,M11,'Suivi maintenance'!$R$2:$R$101)</f>
        <v/>
      </c>
    </row>
    <row r="12">
      <c r="G12" s="41">
        <f>DATE($H$16,9,1)</f>
        <v/>
      </c>
      <c r="H12" s="10">
        <f>COUNTIFS('Suivi maintenance'!$C$2:$C$101,"&gt;="&amp;G12,'Suivi maintenance'!$C$2:$C$101,"&lt;"&amp;DATE($H$16,10,1))</f>
        <v/>
      </c>
      <c r="J12" s="4">
        <f>'Référentiel'!$B$11</f>
        <v/>
      </c>
      <c r="K12" s="37">
        <f>SUMIF('Suivi maintenance'!$D$2:$D$101,J12,'Suivi maintenance'!$R$2:$R$101)</f>
        <v/>
      </c>
      <c r="M12" s="4" t="inlineStr">
        <is>
          <t>Manon Leroy</t>
        </is>
      </c>
      <c r="N12" s="10">
        <f>COUNTIF('Suivi maintenance'!$J$2:$J$101,M12)</f>
        <v/>
      </c>
      <c r="O12" s="42">
        <f>SUMIF('Suivi maintenance'!$J$2:$J$101,M12,'Suivi maintenance'!$R$2:$R$101)</f>
        <v/>
      </c>
    </row>
    <row r="13">
      <c r="G13" s="44">
        <f>DATE($H$16,10,1)</f>
        <v/>
      </c>
      <c r="H13" s="14">
        <f>COUNTIFS('Suivi maintenance'!$C$2:$C$101,"&gt;="&amp;G13,'Suivi maintenance'!$C$2:$C$101,"&lt;"&amp;DATE($H$16,11,1))</f>
        <v/>
      </c>
    </row>
    <row r="14">
      <c r="G14" s="41">
        <f>DATE($H$16,11,1)</f>
        <v/>
      </c>
      <c r="H14" s="10">
        <f>COUNTIFS('Suivi maintenance'!$C$2:$C$101,"&gt;="&amp;G14,'Suivi maintenance'!$C$2:$C$101,"&lt;"&amp;DATE($H$16,12,1))</f>
        <v/>
      </c>
    </row>
    <row r="15">
      <c r="G15" s="44">
        <f>DATE($H$16,12,1)</f>
        <v/>
      </c>
      <c r="H15" s="14">
        <f>COUNTIFS('Suivi maintenance'!$C$2:$C$101,"&gt;="&amp;G15,'Suivi maintenance'!$C$2:$C$101,"&lt;"&amp;DATE($H$16+1,1,1))</f>
        <v/>
      </c>
    </row>
    <row r="16">
      <c r="G16" s="22" t="inlineStr">
        <is>
          <t>Année d’analyse</t>
        </is>
      </c>
      <c r="H16" s="33" t="n">
        <v>2026</v>
      </c>
    </row>
  </sheetData>
  <mergeCells count="1">
    <mergeCell ref="A1:Z1"/>
  </mergeCells>
  <dataValidations count="1">
    <dataValidation sqref="H16" showErrorMessage="1" showInputMessage="1" allowBlank="0" type="whole" operator="between">
      <formula1>2000</formula1>
      <formula2>2100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00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19" t="inlineStr">
        <is>
          <t>INSTRUCTIONS — FICHE DE SUIVI MAINTENANCE</t>
        </is>
      </c>
    </row>
    <row r="2"/>
    <row r="3" ht="43" customHeight="1">
      <c r="A3" s="34" t="inlineStr">
        <is>
          <t>Objet du fichier</t>
        </is>
      </c>
      <c r="B3" s="4" t="inlineStr">
        <is>
          <t>Cette fiche permet de suivre les interventions préventives, curatives et de contrôle réalisées sur les machines du site industriel.</t>
        </is>
      </c>
    </row>
    <row r="4" ht="43" customHeight="1">
      <c r="A4" s="34" t="inlineStr">
        <is>
          <t>Fréquence de mise à jour</t>
        </is>
      </c>
      <c r="B4" s="11" t="inlineStr">
        <is>
          <t>Mettre à jour la feuille « Suivi maintenance » dès la demande d’intervention, puis après chaque intervention ou changement de statut.</t>
        </is>
      </c>
    </row>
    <row r="5" ht="43" customHeight="1">
      <c r="A5" s="34" t="inlineStr">
        <is>
          <t>Feuille « Suivi maintenance »</t>
        </is>
      </c>
      <c r="B5" s="4" t="inlineStr">
        <is>
          <t>Saisir les informations dans les cellules jaunes. Les colonnes Machine, Coût total, Jours avant échéance et Alerte échéance sont calculées automatiquement.</t>
        </is>
      </c>
    </row>
    <row r="6" ht="43" customHeight="1">
      <c r="A6" s="34" t="inlineStr">
        <is>
          <t>Type Préventive</t>
        </is>
      </c>
      <c r="B6" s="11" t="inlineStr">
        <is>
          <t>Intervention planifiée visant à éviter une panne : graissage, contrôle périodique, nettoyage, réglage ou remplacement anticipé.</t>
        </is>
      </c>
    </row>
    <row r="7" ht="43" customHeight="1">
      <c r="A7" s="34" t="inlineStr">
        <is>
          <t>Type Curative</t>
        </is>
      </c>
      <c r="B7" s="4" t="inlineStr">
        <is>
          <t>Intervention déclenchée à la suite d’une panne, d’un dysfonctionnement ou d’une dégradation constatée.</t>
        </is>
      </c>
    </row>
    <row r="8" ht="43" customHeight="1">
      <c r="A8" s="34" t="inlineStr">
        <is>
          <t>Type Contrôle</t>
        </is>
      </c>
      <c r="B8" s="11" t="inlineStr">
        <is>
          <t>Vérification réglementaire, sécurité, qualité ou diagnostic technique sans nécessairement réaliser une réparation.</t>
        </is>
      </c>
    </row>
    <row r="9" ht="43" customHeight="1">
      <c r="A9" s="34" t="inlineStr">
        <is>
          <t>Saisie des dates</t>
        </is>
      </c>
      <c r="B9" s="4" t="inlineStr">
        <is>
          <t>Saisir toutes les dates au format JJ/MM/AAAA. Les dates de demande, d’intervention et de prochaine échéance doivent être renseignées avec précision.</t>
        </is>
      </c>
    </row>
    <row r="10" ht="43" customHeight="1">
      <c r="A10" s="34" t="inlineStr">
        <is>
          <t>Règle de coût total</t>
        </is>
      </c>
      <c r="B10" s="11" t="inlineStr">
        <is>
          <t>Le coût total est calculé automatiquement par addition du coût des pièces et du coût de main-d’œuvre. Vérifier les montants avant de clôturer l’intervention.</t>
        </is>
      </c>
    </row>
    <row r="11" ht="43" customHeight="1">
      <c r="A11" s="34" t="inlineStr">
        <is>
          <t>Alertes d’échéance</t>
        </is>
      </c>
      <c r="B11" s="4" t="inlineStr">
        <is>
          <t>« En retard » : échéance dépassée. « À planifier » : échéance dans les 30 jours. « À jour » : échéance au-delà de 30 jours. « Clôturée » : intervention terminée.</t>
        </is>
      </c>
    </row>
    <row r="12" ht="43" customHeight="1">
      <c r="A12" s="34" t="inlineStr">
        <is>
          <t>Informations à compléter</t>
        </is>
      </c>
      <c r="B12" s="11" t="inlineStr">
        <is>
          <t>Renseigner systématiquement les heures d’arrêt, la durée d’intervention, les pièces remplacées dans les commentaires et le prestataire intervenant.</t>
        </is>
      </c>
    </row>
    <row r="13" ht="43" customHeight="1">
      <c r="A13" s="34" t="inlineStr">
        <is>
          <t>Justificatifs</t>
        </is>
      </c>
      <c r="B13" s="4" t="inlineStr">
        <is>
          <t>Conserver les bons d’intervention, rapports techniques, certificats de contrôle et factures associés à chaque intervention.</t>
        </is>
      </c>
    </row>
    <row r="14" ht="43" customHeight="1">
      <c r="A14" s="34" t="inlineStr">
        <is>
          <t>Tableau de bord</t>
        </is>
      </c>
      <c r="B14" s="11" t="inlineStr">
        <is>
          <t>Le tableau de bord présente les indicateurs clés, les coûts par machine, la répartition par type de maintenance et le suivi mensuel des interventions.</t>
        </is>
      </c>
    </row>
    <row r="15" ht="43" customHeight="1">
      <c r="A15" s="34" t="inlineStr">
        <is>
          <t>Référentiel</t>
        </is>
      </c>
      <c r="B15" s="4" t="inlineStr">
        <is>
          <t>La feuille « Référentiel » contient les codes machines utilisés pour la liste déroulante. Ajouter une machine au référentiel avant de l’utiliser dans le suivi.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26" customWidth="1" min="3" max="3"/>
    <col width="18" customWidth="1" min="4" max="4"/>
    <col width="25" customWidth="1" min="5" max="5"/>
  </cols>
  <sheetData>
    <row r="1" ht="30" customHeight="1">
      <c r="A1" s="19" t="inlineStr">
        <is>
          <t>RÉFÉRENTIEL MACHINES</t>
        </is>
      </c>
    </row>
    <row r="2"/>
    <row r="3">
      <c r="A3" s="4" t="inlineStr">
        <is>
          <t>PH-01</t>
        </is>
      </c>
      <c r="B3" s="4" t="inlineStr">
        <is>
          <t>Presse hydraulique</t>
        </is>
      </c>
      <c r="C3" s="4" t="inlineStr">
        <is>
          <t>Usine Paris Nord</t>
        </is>
      </c>
      <c r="D3" s="4" t="inlineStr">
        <is>
          <t>Paris</t>
        </is>
      </c>
      <c r="E3" s="4" t="inlineStr">
        <is>
          <t>Atelier interne</t>
        </is>
      </c>
    </row>
    <row r="4">
      <c r="A4" s="11" t="inlineStr">
        <is>
          <t>CN-02</t>
        </is>
      </c>
      <c r="B4" s="11" t="inlineStr">
        <is>
          <t>Tour CN</t>
        </is>
      </c>
      <c r="C4" s="11" t="inlineStr">
        <is>
          <t>Usine Lyon Est</t>
        </is>
      </c>
      <c r="D4" s="11" t="inlineStr">
        <is>
          <t>Lyon</t>
        </is>
      </c>
      <c r="E4" s="11" t="inlineStr">
        <is>
          <t>TechniServ</t>
        </is>
      </c>
    </row>
    <row r="5">
      <c r="A5" s="4" t="inlineStr">
        <is>
          <t>CP-03</t>
        </is>
      </c>
      <c r="B5" s="4" t="inlineStr">
        <is>
          <t>Compresseur</t>
        </is>
      </c>
      <c r="C5" s="4" t="inlineStr">
        <is>
          <t>Usine Marseille Sud</t>
        </is>
      </c>
      <c r="D5" s="4" t="inlineStr">
        <is>
          <t>Marseille</t>
        </is>
      </c>
      <c r="E5" s="4" t="inlineStr">
        <is>
          <t>ProMaintenance</t>
        </is>
      </c>
    </row>
    <row r="6">
      <c r="A6" s="11" t="inlineStr">
        <is>
          <t>CV-04</t>
        </is>
      </c>
      <c r="B6" s="11" t="inlineStr">
        <is>
          <t>Convoyeur</t>
        </is>
      </c>
      <c r="C6" s="11" t="inlineStr">
        <is>
          <t>Usine Toulouse Ouest</t>
        </is>
      </c>
      <c r="D6" s="11" t="inlineStr">
        <is>
          <t>Toulouse</t>
        </is>
      </c>
      <c r="E6" s="11" t="inlineStr">
        <is>
          <t>Atelier interne</t>
        </is>
      </c>
    </row>
    <row r="7">
      <c r="A7" s="4" t="inlineStr">
        <is>
          <t>FR-05</t>
        </is>
      </c>
      <c r="B7" s="4" t="inlineStr">
        <is>
          <t>Fraiseuse</t>
        </is>
      </c>
      <c r="C7" s="4" t="inlineStr">
        <is>
          <t>Usine Bordeaux Centre</t>
        </is>
      </c>
      <c r="D7" s="4" t="inlineStr">
        <is>
          <t>Bordeaux</t>
        </is>
      </c>
      <c r="E7" s="4" t="inlineStr">
        <is>
          <t>HydroFrance</t>
        </is>
      </c>
    </row>
    <row r="8">
      <c r="A8" s="11" t="inlineStr">
        <is>
          <t>CH-06</t>
        </is>
      </c>
      <c r="B8" s="11" t="inlineStr">
        <is>
          <t>Chaudière industrielle</t>
        </is>
      </c>
      <c r="C8" s="11" t="inlineStr">
        <is>
          <t>Usine Lille Métropole</t>
        </is>
      </c>
      <c r="D8" s="11" t="inlineStr">
        <is>
          <t>Lille</t>
        </is>
      </c>
      <c r="E8" s="11" t="inlineStr">
        <is>
          <t>Énergie Industrie</t>
        </is>
      </c>
    </row>
    <row r="9">
      <c r="A9" s="4" t="inlineStr">
        <is>
          <t>RS-07</t>
        </is>
      </c>
      <c r="B9" s="4" t="inlineStr">
        <is>
          <t>Robot de soudage</t>
        </is>
      </c>
      <c r="C9" s="4" t="inlineStr">
        <is>
          <t>Usine Nantes Atlantique</t>
        </is>
      </c>
      <c r="D9" s="4" t="inlineStr">
        <is>
          <t>Nantes</t>
        </is>
      </c>
      <c r="E9" s="4" t="inlineStr">
        <is>
          <t>ProMaintenance</t>
        </is>
      </c>
    </row>
    <row r="10">
      <c r="A10" s="11" t="inlineStr">
        <is>
          <t>GE-08</t>
        </is>
      </c>
      <c r="B10" s="11" t="inlineStr">
        <is>
          <t>Groupe électrogène</t>
        </is>
      </c>
      <c r="C10" s="11" t="inlineStr">
        <is>
          <t>Usine Strasbourg Rhin</t>
        </is>
      </c>
      <c r="D10" s="11" t="inlineStr">
        <is>
          <t>Strasbourg</t>
        </is>
      </c>
      <c r="E10" s="11" t="inlineStr">
        <is>
          <t>Énergie Industrie</t>
        </is>
      </c>
    </row>
    <row r="11">
      <c r="A11" s="4" t="inlineStr">
        <is>
          <t>LE-09</t>
        </is>
      </c>
      <c r="B11" s="4" t="inlineStr">
        <is>
          <t>Ligne d’emballage</t>
        </is>
      </c>
      <c r="C11" s="4" t="inlineStr">
        <is>
          <t>Usine Rennes Sud</t>
        </is>
      </c>
      <c r="D11" s="4" t="inlineStr">
        <is>
          <t>Rennes</t>
        </is>
      </c>
      <c r="E11" s="4" t="inlineStr">
        <is>
          <t>TechniServ</t>
        </is>
      </c>
    </row>
  </sheetData>
  <autoFilter ref="A3:E11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2026-09-06T22:15:53Z</dcterms:created>
  <dcterms:modified xmlns:dcterms="http://purl.org/dc/terms/" xmlns:xsi="http://www.w3.org/2001/XMLSchema-instance" xsi:type="dcterms:W3CDTF">2026-09-06T22:15:53Z</dcterms:modified>
</cp:coreProperties>
</file>