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ulletin de paie" sheetId="1" state="visible" r:id="rId1"/>
    <sheet xmlns:r="http://schemas.openxmlformats.org/officeDocument/2006/relationships" name="Paramètres" sheetId="2" state="visible" r:id="rId2"/>
    <sheet xmlns:r="http://schemas.openxmlformats.org/officeDocument/2006/relationships" name="Synthèse mensuelle"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yyyy-mm-dd"/>
    <numFmt numFmtId="165" formatCode="DD/MM/YYYY"/>
    <numFmt numFmtId="166" formatCode="#,##0.00&quot; €&quot;"/>
  </numFmts>
  <fonts count="5">
    <font>
      <name val="Calibri"/>
      <family val="2"/>
      <color theme="1"/>
      <sz val="11"/>
      <scheme val="minor"/>
    </font>
    <font>
      <name val="Calibri"/>
      <b val="1"/>
      <color rgb="004A2AA5"/>
      <sz val="15"/>
    </font>
    <font>
      <name val="Calibri"/>
      <b val="1"/>
      <color rgb="00FFFFFF"/>
      <sz val="11"/>
    </font>
    <font>
      <name val="Calibri"/>
      <color rgb="001F2937"/>
      <sz val="10"/>
    </font>
    <font>
      <name val="Calibri"/>
      <b val="1"/>
      <color rgb="001F2937"/>
      <sz val="10"/>
    </font>
  </fonts>
  <fills count="8">
    <fill>
      <patternFill/>
    </fill>
    <fill>
      <patternFill patternType="gray125"/>
    </fill>
    <fill>
      <patternFill patternType="solid">
        <fgColor rgb="004A2AA5"/>
      </patternFill>
    </fill>
    <fill>
      <patternFill patternType="solid">
        <fgColor rgb="00FFFBEB"/>
      </patternFill>
    </fill>
    <fill>
      <patternFill patternType="solid">
        <fgColor rgb="00F1EDFB"/>
      </patternFill>
    </fill>
    <fill>
      <patternFill patternType="solid">
        <fgColor rgb="00FFFFFF"/>
      </patternFill>
    </fill>
    <fill>
      <patternFill patternType="solid">
        <fgColor rgb="00FF6B4A"/>
      </patternFill>
    </fill>
    <fill>
      <patternFill patternType="solid">
        <fgColor rgb="005D3BC4"/>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2">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3" fillId="4" borderId="1" pivotButton="0" quotePrefix="0" xfId="0"/>
    <xf numFmtId="165" fontId="3" fillId="4" borderId="1" pivotButton="0" quotePrefix="0" xfId="0"/>
    <xf numFmtId="166" fontId="3" fillId="4" borderId="1" pivotButton="0" quotePrefix="0" xfId="0"/>
    <xf numFmtId="166" fontId="3" fillId="3" borderId="1" pivotButton="0" quotePrefix="0" xfId="0"/>
    <xf numFmtId="10" fontId="3" fillId="3" borderId="1" pivotButton="0" quotePrefix="0" xfId="0"/>
    <xf numFmtId="10" fontId="3" fillId="4" borderId="1" pivotButton="0" quotePrefix="0" xfId="0"/>
    <xf numFmtId="0" fontId="3" fillId="5" borderId="1" pivotButton="0" quotePrefix="0" xfId="0"/>
    <xf numFmtId="165" fontId="3" fillId="5" borderId="1" pivotButton="0" quotePrefix="0" xfId="0"/>
    <xf numFmtId="166" fontId="3" fillId="5" borderId="1" pivotButton="0" quotePrefix="0" xfId="0"/>
    <xf numFmtId="10" fontId="3" fillId="5" borderId="1" pivotButton="0" quotePrefix="0" xfId="0"/>
    <xf numFmtId="0" fontId="4" fillId="6" borderId="1" pivotButton="0" quotePrefix="0" xfId="0"/>
    <xf numFmtId="166" fontId="4" fillId="6" borderId="1" pivotButton="0" quotePrefix="0" xfId="0"/>
    <xf numFmtId="10" fontId="4" fillId="6" borderId="1" pivotButton="0" quotePrefix="0" xfId="0"/>
    <xf numFmtId="0" fontId="1" fillId="0" borderId="0" pivotButton="0" quotePrefix="0" xfId="0"/>
    <xf numFmtId="0" fontId="2" fillId="7" borderId="0" pivotButton="0" quotePrefix="0" xfId="0"/>
    <xf numFmtId="0" fontId="0" fillId="7" borderId="0" pivotButton="0" quotePrefix="0" xfId="0"/>
    <xf numFmtId="0" fontId="4" fillId="4" borderId="1" pivotButton="0" quotePrefix="0" xfId="0"/>
    <xf numFmtId="0" fontId="4" fillId="5" borderId="1" pivotButton="0" quotePrefix="0" xfId="0"/>
    <xf numFmtId="1" fontId="3" fillId="4" borderId="1" pivotButton="0" quotePrefix="0" xfId="0"/>
    <xf numFmtId="1" fontId="3" fillId="5" borderId="1" pivotButton="0" quotePrefix="0" xfId="0"/>
    <xf numFmtId="0" fontId="4" fillId="0" borderId="1" pivotButton="0" quotePrefix="0" xfId="0"/>
    <xf numFmtId="166" fontId="0" fillId="3" borderId="1" pivotButton="0" quotePrefix="0" xfId="0"/>
    <xf numFmtId="10" fontId="0" fillId="0" borderId="1" pivotButton="0" quotePrefix="0" xfId="0"/>
    <xf numFmtId="166" fontId="0" fillId="4" borderId="1" pivotButton="0" quotePrefix="0" xfId="0"/>
    <xf numFmtId="166" fontId="0" fillId="5" borderId="1" pivotButton="0" quotePrefix="0" xfId="0"/>
    <xf numFmtId="0" fontId="2" fillId="2" borderId="1" pivotButton="0" quotePrefix="0" xfId="0"/>
    <xf numFmtId="0" fontId="0" fillId="4" borderId="1" pivotButton="0" quotePrefix="0" xfId="0"/>
    <xf numFmtId="0" fontId="0" fillId="5" borderId="1" pivotButton="0" quotePrefix="0" xfId="0"/>
    <xf numFmtId="0" fontId="3" fillId="0" borderId="0" applyAlignment="1" pivotButton="0" quotePrefix="0" xfId="0">
      <alignment vertical="top" wrapText="1"/>
    </xf>
  </cellXfs>
  <cellStyles count="1">
    <cellStyle name="Normal" xfId="0" builtinId="0" hidden="0"/>
  </cellStyles>
  <dxfs count="2">
    <dxf>
      <font>
        <name val="Calibri"/>
        <b val="1"/>
        <color rgb="00DC2626"/>
        <sz val="10"/>
      </font>
      <fill>
        <patternFill patternType="solid">
          <fgColor rgb="00FDE2E1"/>
        </patternFill>
      </fill>
    </dxf>
    <dxf>
      <font>
        <name val="Calibri"/>
        <b val="1"/>
        <color rgb="0016A34A"/>
        <sz val="10"/>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Net à payer par salarié</a:t>
            </a:r>
          </a:p>
        </rich>
      </tx>
    </title>
    <plotArea>
      <barChart>
        <barDir val="col"/>
        <grouping val="clustered"/>
        <ser>
          <idx val="0"/>
          <order val="0"/>
          <tx>
            <strRef>
              <f>'Synthèse mensuelle'!D19</f>
            </strRef>
          </tx>
          <spPr>
            <a:solidFill xmlns:a="http://schemas.openxmlformats.org/drawingml/2006/main">
              <a:srgbClr val="4A2AA5"/>
            </a:solidFill>
            <a:ln xmlns:a="http://schemas.openxmlformats.org/drawingml/2006/main">
              <a:prstDash val="solid"/>
            </a:ln>
          </spPr>
          <cat>
            <numRef>
              <f>'Synthèse mensuelle'!$A$20:$A$29</f>
            </numRef>
          </cat>
          <val>
            <numRef>
              <f>'Synthèse mensuelle'!$D$20:$D$29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Salarié</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Net à payer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cotisations salariales</a:t>
            </a:r>
          </a:p>
        </rich>
      </tx>
    </title>
    <plotArea>
      <pieChart>
        <varyColors val="1"/>
        <ser>
          <idx val="0"/>
          <order val="0"/>
          <tx>
            <strRef>
              <f>'Synthèse mensuelle'!B33</f>
            </strRef>
          </tx>
          <spPr>
            <a:solidFill xmlns:a="http://schemas.openxmlformats.org/drawingml/2006/main">
              <a:srgbClr val="FF6B4A"/>
            </a:solidFill>
            <a:ln xmlns:a="http://schemas.openxmlformats.org/drawingml/2006/main">
              <a:prstDash val="solid"/>
            </a:ln>
          </spPr>
          <cat>
            <numRef>
              <f>'Synthèse mensuelle'!$A$34:$A$38</f>
            </numRef>
          </cat>
          <val>
            <numRef>
              <f>'Synthèse mensuelle'!$B$34:$B$38</f>
            </numRef>
          </val>
        </ser>
        <firstSliceAng val="0"/>
      </pieChart>
    </plotArea>
    <legend>
      <legendPos val="r"/>
    </legend>
    <plotVisOnly val="1"/>
    <dispBlanksAs val="gap"/>
  </chart>
</chartSpace>
</file>

<file path=xl/charts/chart3.xml><?xml version="1.0" encoding="utf-8"?>
<chartSpace xmlns="http://schemas.openxmlformats.org/drawingml/2006/chart">
  <style val="12"/>
  <chart>
    <title>
      <tx>
        <rich>
          <a:bodyPr xmlns:a="http://schemas.openxmlformats.org/drawingml/2006/main"/>
          <a:p xmlns:a="http://schemas.openxmlformats.org/drawingml/2006/main">
            <a:pPr>
              <a:defRPr/>
            </a:pPr>
            <a:r>
              <a:t>Coût employeur par salarié</a:t>
            </a:r>
          </a:p>
        </rich>
      </tx>
    </title>
    <plotArea>
      <barChart>
        <barDir val="col"/>
        <grouping val="clustered"/>
        <ser>
          <idx val="0"/>
          <order val="0"/>
          <tx>
            <strRef>
              <f>'Synthèse mensuelle'!E19</f>
            </strRef>
          </tx>
          <spPr>
            <a:solidFill xmlns:a="http://schemas.openxmlformats.org/drawingml/2006/main">
              <a:srgbClr val="5D3BC4"/>
            </a:solidFill>
            <a:ln xmlns:a="http://schemas.openxmlformats.org/drawingml/2006/main">
              <a:prstDash val="solid"/>
            </a:ln>
          </spPr>
          <cat>
            <numRef>
              <f>'Synthèse mensuelle'!$A$20:$A$29</f>
            </numRef>
          </cat>
          <val>
            <numRef>
              <f>'Synthèse mensuelle'!$E$20:$E$29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Salarié</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Coût employeur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6</col>
      <colOff>0</colOff>
      <row>2</row>
      <rowOff>0</rowOff>
    </from>
    <ext cx="720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21</row>
      <rowOff>0</rowOff>
    </from>
    <ext cx="576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6</col>
      <colOff>0</colOff>
      <row>38</row>
      <rowOff>0</rowOff>
    </from>
    <ext cx="7200000" cy="36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AQ13"/>
  <sheetViews>
    <sheetView workbookViewId="0">
      <pane xSplit="2" ySplit="2" topLeftCell="C3" activePane="bottomRight" state="frozen"/>
      <selection pane="topRight"/>
      <selection pane="bottomLeft"/>
      <selection pane="bottomRight" activeCell="A1" sqref="A1"/>
    </sheetView>
  </sheetViews>
  <sheetFormatPr baseColWidth="8" defaultRowHeight="15"/>
  <cols>
    <col width="15" customWidth="1" min="1" max="1"/>
    <col width="14" customWidth="1" min="2" max="2"/>
    <col width="14" customWidth="1" min="3" max="3"/>
    <col width="22" customWidth="1" min="4" max="4"/>
    <col width="15" customWidth="1" min="5" max="5"/>
    <col width="18" customWidth="1" min="6" max="6"/>
    <col width="13" customWidth="1" min="7" max="7"/>
    <col width="18" customWidth="1" min="8" max="8"/>
    <col width="12" customWidth="1" min="9" max="9"/>
    <col width="12" customWidth="1" min="10" max="10"/>
    <col width="15" customWidth="1" min="11" max="11"/>
    <col width="15" customWidth="1" min="12" max="12"/>
    <col width="15" customWidth="1" min="13" max="13"/>
    <col width="15" customWidth="1" min="14" max="14"/>
    <col width="15" customWidth="1" min="15" max="15"/>
    <col width="15" customWidth="1" min="16" max="16"/>
    <col width="15" customWidth="1" min="17" max="17"/>
    <col width="15" customWidth="1" min="18" max="18"/>
    <col width="15" customWidth="1" min="19" max="19"/>
    <col width="15" customWidth="1" min="20" max="20"/>
    <col width="15" customWidth="1" min="21" max="21"/>
    <col width="15" customWidth="1" min="22" max="22"/>
    <col width="15" customWidth="1" min="23" max="23"/>
    <col width="15" customWidth="1" min="24" max="24"/>
    <col width="15" customWidth="1" min="25" max="25"/>
    <col width="15" customWidth="1" min="26" max="26"/>
    <col width="15" customWidth="1" min="27" max="27"/>
    <col width="15" customWidth="1" min="28" max="28"/>
    <col width="15" customWidth="1" min="29" max="29"/>
    <col width="15" customWidth="1" min="30" max="30"/>
    <col width="15" customWidth="1" min="31" max="31"/>
    <col width="15" customWidth="1" min="32" max="32"/>
    <col width="15" customWidth="1" min="33" max="33"/>
    <col width="15" customWidth="1" min="34" max="34"/>
    <col width="15" customWidth="1" min="35" max="35"/>
    <col width="15" customWidth="1" min="36" max="36"/>
    <col width="15" customWidth="1" min="37" max="37"/>
    <col width="15" customWidth="1" min="38" max="38"/>
    <col width="15" customWidth="1" min="39" max="39"/>
    <col width="15" customWidth="1" min="40" max="40"/>
    <col width="15" customWidth="1" min="41" max="41"/>
    <col width="15" customWidth="1" min="42" max="42"/>
    <col width="15" customWidth="1" min="43" max="43"/>
  </cols>
  <sheetData>
    <row r="1" ht="26" customHeight="1">
      <c r="A1" s="1" t="inlineStr">
        <is>
          <t>BULLETIN DE PAIE — CADRES — EXCEL MALIN SAS (Année 2026)</t>
        </is>
      </c>
    </row>
    <row r="2" ht="40" customHeight="1">
      <c r="A2" s="2" t="inlineStr">
        <is>
          <t>Matricule</t>
        </is>
      </c>
      <c r="B2" s="2" t="inlineStr">
        <is>
          <t>Nom</t>
        </is>
      </c>
      <c r="C2" s="2" t="inlineStr">
        <is>
          <t>Prénom</t>
        </is>
      </c>
      <c r="D2" s="2" t="inlineStr">
        <is>
          <t>Poste</t>
        </is>
      </c>
      <c r="E2" s="2" t="inlineStr">
        <is>
          <t>Statut</t>
        </is>
      </c>
      <c r="F2" s="2" t="inlineStr">
        <is>
          <t>Convention collective</t>
        </is>
      </c>
      <c r="G2" s="2" t="inlineStr">
        <is>
          <t>Date d'entrée</t>
        </is>
      </c>
      <c r="H2" s="2" t="inlineStr">
        <is>
          <t>Établissement</t>
        </is>
      </c>
      <c r="I2" s="2" t="inlineStr">
        <is>
          <t>Ville</t>
        </is>
      </c>
      <c r="J2" s="2" t="inlineStr">
        <is>
          <t>Mois de paie</t>
        </is>
      </c>
      <c r="K2" s="2" t="inlineStr">
        <is>
          <t>Jours ouvrés</t>
        </is>
      </c>
      <c r="L2" s="2" t="inlineStr">
        <is>
          <t>Heures contractuelles</t>
        </is>
      </c>
      <c r="M2" s="2" t="inlineStr">
        <is>
          <t>Heures réalisées</t>
        </is>
      </c>
      <c r="N2" s="2" t="inlineStr">
        <is>
          <t>Heures sup.</t>
        </is>
      </c>
      <c r="O2" s="2" t="inlineStr">
        <is>
          <t>Salaire de base</t>
        </is>
      </c>
      <c r="P2" s="2" t="inlineStr">
        <is>
          <t>Prime fixe</t>
        </is>
      </c>
      <c r="Q2" s="2" t="inlineStr">
        <is>
          <t>Prime variable</t>
        </is>
      </c>
      <c r="R2" s="2" t="inlineStr">
        <is>
          <t>Avantages en nature</t>
        </is>
      </c>
      <c r="S2" s="2" t="inlineStr">
        <is>
          <t>Total brut</t>
        </is>
      </c>
      <c r="T2" s="2" t="inlineStr">
        <is>
          <t>Cotis. santé (sal.)</t>
        </is>
      </c>
      <c r="U2" s="2" t="inlineStr">
        <is>
          <t>Cotis. retraite (sal.)</t>
        </is>
      </c>
      <c r="V2" s="2" t="inlineStr">
        <is>
          <t>Cotis. prévoyance (sal.)</t>
        </is>
      </c>
      <c r="W2" s="2" t="inlineStr">
        <is>
          <t>CSG/CRDS</t>
        </is>
      </c>
      <c r="X2" s="2" t="inlineStr">
        <is>
          <t>Autres retenues</t>
        </is>
      </c>
      <c r="Y2" s="2" t="inlineStr">
        <is>
          <t>Total cotis. salariales</t>
        </is>
      </c>
      <c r="Z2" s="2" t="inlineStr">
        <is>
          <t>Cotis. vieillesse (pat.)</t>
        </is>
      </c>
      <c r="AA2" s="2" t="inlineStr">
        <is>
          <t>Alloc. familiales (pat.)</t>
        </is>
      </c>
      <c r="AB2" s="2" t="inlineStr">
        <is>
          <t>Accident du travail (pat.)</t>
        </is>
      </c>
      <c r="AC2" s="2" t="inlineStr">
        <is>
          <t>FNAL (pat.)</t>
        </is>
      </c>
      <c r="AD2" s="2" t="inlineStr">
        <is>
          <t>Autres charges (pat.)</t>
        </is>
      </c>
      <c r="AE2" s="2" t="inlineStr">
        <is>
          <t>Total cotis. patronales</t>
        </is>
      </c>
      <c r="AF2" s="2" t="inlineStr">
        <is>
          <t>Net imposable</t>
        </is>
      </c>
      <c r="AG2" s="2" t="inlineStr">
        <is>
          <t>Taux PAS</t>
        </is>
      </c>
      <c r="AH2" s="2" t="inlineStr">
        <is>
          <t>Net à payer avant impôt</t>
        </is>
      </c>
      <c r="AI2" s="2" t="inlineStr">
        <is>
          <t>PAS</t>
        </is>
      </c>
      <c r="AJ2" s="2" t="inlineStr">
        <is>
          <t>Net à payer</t>
        </is>
      </c>
      <c r="AK2" s="2" t="inlineStr">
        <is>
          <t>Coût total employeur</t>
        </is>
      </c>
      <c r="AL2" s="2" t="inlineStr">
        <is>
          <t>CP acquis</t>
        </is>
      </c>
      <c r="AM2" s="2" t="inlineStr">
        <is>
          <t>CP pris</t>
        </is>
      </c>
      <c r="AN2" s="2" t="inlineStr">
        <is>
          <t>RTT acquis</t>
        </is>
      </c>
      <c r="AO2" s="2" t="inlineStr">
        <is>
          <t>RTT pris</t>
        </is>
      </c>
      <c r="AP2" s="2" t="inlineStr">
        <is>
          <t>Anomalie</t>
        </is>
      </c>
      <c r="AQ2" s="2" t="inlineStr">
        <is>
          <t>Taux charges patronales</t>
        </is>
      </c>
    </row>
    <row r="3">
      <c r="A3" s="3" t="inlineStr">
        <is>
          <t>CAD001</t>
        </is>
      </c>
      <c r="B3" s="3" t="inlineStr">
        <is>
          <t>Martin</t>
        </is>
      </c>
      <c r="C3" s="3" t="inlineStr">
        <is>
          <t>Camille</t>
        </is>
      </c>
      <c r="D3" s="3" t="inlineStr">
        <is>
          <t>Directrice Marketing</t>
        </is>
      </c>
      <c r="E3" s="3" t="inlineStr">
        <is>
          <t>Cadre</t>
        </is>
      </c>
      <c r="F3" s="3" t="inlineStr">
        <is>
          <t>Syntec</t>
        </is>
      </c>
      <c r="G3" s="4" t="n">
        <v>44228</v>
      </c>
      <c r="H3" s="3" t="inlineStr">
        <is>
          <t>Excel Malin SAS</t>
        </is>
      </c>
      <c r="I3" s="3" t="inlineStr">
        <is>
          <t>Paris</t>
        </is>
      </c>
      <c r="J3" s="3" t="inlineStr">
        <is>
          <t>01/2026</t>
        </is>
      </c>
      <c r="K3" s="3" t="n">
        <v>21</v>
      </c>
      <c r="L3" s="3" t="n">
        <v>151.67</v>
      </c>
      <c r="M3" s="3" t="n">
        <v>151.67</v>
      </c>
      <c r="N3" s="3">
        <f>IF(M3&gt;L3,M3-L3,0)</f>
        <v/>
      </c>
      <c r="O3" s="5" t="n">
        <v>5200</v>
      </c>
      <c r="P3" s="5" t="n">
        <v>300</v>
      </c>
      <c r="Q3" s="5" t="n">
        <v>450</v>
      </c>
      <c r="R3" s="5" t="n">
        <v>80</v>
      </c>
      <c r="S3" s="5">
        <f>SUM(O3:R3)</f>
        <v/>
      </c>
      <c r="T3" s="5">
        <f>S3*VLOOKUP("Maladie",Paramètres!$A$3:$D$12,3,FALSE)</f>
        <v/>
      </c>
      <c r="U3" s="5">
        <f>S3*VLOOKUP("Retraite complémentaire cadre",Paramètres!$A$3:$D$12,3,FALSE)</f>
        <v/>
      </c>
      <c r="V3" s="5">
        <f>S3*VLOOKUP("Prévoyance cadre",Paramètres!$A$3:$D$12,3,FALSE)</f>
        <v/>
      </c>
      <c r="W3" s="5">
        <f>S3*0.9825*(VLOOKUP("CSG déductible",Paramètres!$A$3:$D$12,3,FALSE)+VLOOKUP("CSG non déductible",Paramètres!$A$3:$D$12,3,FALSE))</f>
        <v/>
      </c>
      <c r="X3" s="6" t="n">
        <v>25</v>
      </c>
      <c r="Y3" s="5">
        <f>SUM(T3:X3)</f>
        <v/>
      </c>
      <c r="Z3" s="5">
        <f>S3*VLOOKUP("Vieillesse (plaf. + déplaf.)",Paramètres!$A$3:$D$12,4,FALSE)</f>
        <v/>
      </c>
      <c r="AA3" s="5">
        <f>S3*VLOOKUP("Allocations familiales",Paramètres!$A$3:$D$12,4,FALSE)</f>
        <v/>
      </c>
      <c r="AB3" s="5">
        <f>S3*VLOOKUP("Accident du travail",Paramètres!$A$3:$D$12,4,FALSE)</f>
        <v/>
      </c>
      <c r="AC3" s="5">
        <f>S3*VLOOKUP("FNAL",Paramètres!$A$3:$D$12,4,FALSE)</f>
        <v/>
      </c>
      <c r="AD3" s="5">
        <f>S3*(VLOOKUP("Retraite complémentaire cadre",Paramètres!$A$3:$D$12,4,FALSE)+VLOOKUP("Maladie",Paramètres!$A$3:$D$12,4,FALSE)+VLOOKUP("Prévoyance cadre",Paramètres!$A$3:$D$12,4,FALSE))</f>
        <v/>
      </c>
      <c r="AE3" s="5">
        <f>SUM(Z3:AD3)</f>
        <v/>
      </c>
      <c r="AF3" s="5">
        <f>S3-Y3+S3*0.9825*VLOOKUP("CSG non déductible",Paramètres!$A$3:$D$12,3,FALSE)</f>
        <v/>
      </c>
      <c r="AG3" s="7" t="n">
        <v>0.09</v>
      </c>
      <c r="AH3" s="5">
        <f>AF3-X3</f>
        <v/>
      </c>
      <c r="AI3" s="5">
        <f>IF(AG3&gt;0,AF3*AG3,0)</f>
        <v/>
      </c>
      <c r="AJ3" s="5">
        <f>AH3-AI3</f>
        <v/>
      </c>
      <c r="AK3" s="5">
        <f>S3+AE3</f>
        <v/>
      </c>
      <c r="AL3" s="3" t="n">
        <v>25</v>
      </c>
      <c r="AM3" s="3" t="n">
        <v>4</v>
      </c>
      <c r="AN3" s="3" t="n">
        <v>10</v>
      </c>
      <c r="AO3" s="3" t="n">
        <v>2</v>
      </c>
      <c r="AP3" s="3">
        <f>IF(L3=0,"À contrôler","OK")</f>
        <v/>
      </c>
      <c r="AQ3" s="8">
        <f>IFERROR(AE3/S3,0)</f>
        <v/>
      </c>
    </row>
    <row r="4">
      <c r="A4" s="9" t="inlineStr">
        <is>
          <t>CAD002</t>
        </is>
      </c>
      <c r="B4" s="9" t="inlineStr">
        <is>
          <t>Bernard</t>
        </is>
      </c>
      <c r="C4" s="9" t="inlineStr">
        <is>
          <t>Lucas</t>
        </is>
      </c>
      <c r="D4" s="9" t="inlineStr">
        <is>
          <t>Responsable Commercial</t>
        </is>
      </c>
      <c r="E4" s="9" t="inlineStr">
        <is>
          <t>Cadre</t>
        </is>
      </c>
      <c r="F4" s="9" t="inlineStr">
        <is>
          <t>Métallurgie</t>
        </is>
      </c>
      <c r="G4" s="10" t="n">
        <v>44819</v>
      </c>
      <c r="H4" s="9" t="inlineStr">
        <is>
          <t>Excel Malin SAS</t>
        </is>
      </c>
      <c r="I4" s="9" t="inlineStr">
        <is>
          <t>Lyon</t>
        </is>
      </c>
      <c r="J4" s="9" t="inlineStr">
        <is>
          <t>02/2026</t>
        </is>
      </c>
      <c r="K4" s="9" t="n">
        <v>20</v>
      </c>
      <c r="L4" s="9" t="n">
        <v>151.67</v>
      </c>
      <c r="M4" s="9" t="n">
        <v>158</v>
      </c>
      <c r="N4" s="9">
        <f>IF(M4&gt;L4,M4-L4,0)</f>
        <v/>
      </c>
      <c r="O4" s="11" t="n">
        <v>4600</v>
      </c>
      <c r="P4" s="11" t="n">
        <v>200</v>
      </c>
      <c r="Q4" s="11" t="n">
        <v>600</v>
      </c>
      <c r="R4" s="11" t="n">
        <v>0</v>
      </c>
      <c r="S4" s="11">
        <f>SUM(O4:R4)</f>
        <v/>
      </c>
      <c r="T4" s="11">
        <f>S4*VLOOKUP("Maladie",Paramètres!$A$3:$D$12,3,FALSE)</f>
        <v/>
      </c>
      <c r="U4" s="11">
        <f>S4*VLOOKUP("Retraite complémentaire cadre",Paramètres!$A$3:$D$12,3,FALSE)</f>
        <v/>
      </c>
      <c r="V4" s="11">
        <f>S4*VLOOKUP("Prévoyance cadre",Paramètres!$A$3:$D$12,3,FALSE)</f>
        <v/>
      </c>
      <c r="W4" s="11">
        <f>S4*0.9825*(VLOOKUP("CSG déductible",Paramètres!$A$3:$D$12,3,FALSE)+VLOOKUP("CSG non déductible",Paramètres!$A$3:$D$12,3,FALSE))</f>
        <v/>
      </c>
      <c r="X4" s="6" t="n">
        <v>15</v>
      </c>
      <c r="Y4" s="11">
        <f>SUM(T4:X4)</f>
        <v/>
      </c>
      <c r="Z4" s="11">
        <f>S4*VLOOKUP("Vieillesse (plaf. + déplaf.)",Paramètres!$A$3:$D$12,4,FALSE)</f>
        <v/>
      </c>
      <c r="AA4" s="11">
        <f>S4*VLOOKUP("Allocations familiales",Paramètres!$A$3:$D$12,4,FALSE)</f>
        <v/>
      </c>
      <c r="AB4" s="11">
        <f>S4*VLOOKUP("Accident du travail",Paramètres!$A$3:$D$12,4,FALSE)</f>
        <v/>
      </c>
      <c r="AC4" s="11">
        <f>S4*VLOOKUP("FNAL",Paramètres!$A$3:$D$12,4,FALSE)</f>
        <v/>
      </c>
      <c r="AD4" s="11">
        <f>S4*(VLOOKUP("Retraite complémentaire cadre",Paramètres!$A$3:$D$12,4,FALSE)+VLOOKUP("Maladie",Paramètres!$A$3:$D$12,4,FALSE)+VLOOKUP("Prévoyance cadre",Paramètres!$A$3:$D$12,4,FALSE))</f>
        <v/>
      </c>
      <c r="AE4" s="11">
        <f>SUM(Z4:AD4)</f>
        <v/>
      </c>
      <c r="AF4" s="11">
        <f>S4-Y4+S4*0.9825*VLOOKUP("CSG non déductible",Paramètres!$A$3:$D$12,3,FALSE)</f>
        <v/>
      </c>
      <c r="AG4" s="7" t="n">
        <v>0.06</v>
      </c>
      <c r="AH4" s="11">
        <f>AF4-X4</f>
        <v/>
      </c>
      <c r="AI4" s="11">
        <f>IF(AG4&gt;0,AF4*AG4,0)</f>
        <v/>
      </c>
      <c r="AJ4" s="11">
        <f>AH4-AI4</f>
        <v/>
      </c>
      <c r="AK4" s="11">
        <f>S4+AE4</f>
        <v/>
      </c>
      <c r="AL4" s="9" t="n">
        <v>22</v>
      </c>
      <c r="AM4" s="9" t="n">
        <v>3</v>
      </c>
      <c r="AN4" s="9" t="n">
        <v>8</v>
      </c>
      <c r="AO4" s="9" t="n">
        <v>1</v>
      </c>
      <c r="AP4" s="9">
        <f>IF(L4=0,"À contrôler","OK")</f>
        <v/>
      </c>
      <c r="AQ4" s="12">
        <f>IFERROR(AE4/S4,0)</f>
        <v/>
      </c>
    </row>
    <row r="5">
      <c r="A5" s="3" t="inlineStr">
        <is>
          <t>CAD003</t>
        </is>
      </c>
      <c r="B5" s="3" t="inlineStr">
        <is>
          <t>Dubois</t>
        </is>
      </c>
      <c r="C5" s="3" t="inlineStr">
        <is>
          <t>Emma</t>
        </is>
      </c>
      <c r="D5" s="3" t="inlineStr">
        <is>
          <t>Cheffe de Projet IT</t>
        </is>
      </c>
      <c r="E5" s="3" t="inlineStr">
        <is>
          <t>Cadre</t>
        </is>
      </c>
      <c r="F5" s="3" t="inlineStr">
        <is>
          <t>Syntec</t>
        </is>
      </c>
      <c r="G5" s="4" t="n">
        <v>44929</v>
      </c>
      <c r="H5" s="3" t="inlineStr">
        <is>
          <t>Excel Malin SAS</t>
        </is>
      </c>
      <c r="I5" s="3" t="inlineStr">
        <is>
          <t>Marseille</t>
        </is>
      </c>
      <c r="J5" s="3" t="inlineStr">
        <is>
          <t>03/2026</t>
        </is>
      </c>
      <c r="K5" s="3" t="n">
        <v>22</v>
      </c>
      <c r="L5" s="3" t="n">
        <v>151.67</v>
      </c>
      <c r="M5" s="3" t="n">
        <v>151.67</v>
      </c>
      <c r="N5" s="3">
        <f>IF(M5&gt;L5,M5-L5,0)</f>
        <v/>
      </c>
      <c r="O5" s="5" t="n">
        <v>3900</v>
      </c>
      <c r="P5" s="5" t="n">
        <v>150</v>
      </c>
      <c r="Q5" s="5" t="n">
        <v>0</v>
      </c>
      <c r="R5" s="5" t="n">
        <v>40</v>
      </c>
      <c r="S5" s="5">
        <f>SUM(O5:R5)</f>
        <v/>
      </c>
      <c r="T5" s="5">
        <f>S5*VLOOKUP("Maladie",Paramètres!$A$3:$D$12,3,FALSE)</f>
        <v/>
      </c>
      <c r="U5" s="5">
        <f>S5*VLOOKUP("Retraite complémentaire cadre",Paramètres!$A$3:$D$12,3,FALSE)</f>
        <v/>
      </c>
      <c r="V5" s="5">
        <f>S5*VLOOKUP("Prévoyance cadre",Paramètres!$A$3:$D$12,3,FALSE)</f>
        <v/>
      </c>
      <c r="W5" s="5">
        <f>S5*0.9825*(VLOOKUP("CSG déductible",Paramètres!$A$3:$D$12,3,FALSE)+VLOOKUP("CSG non déductible",Paramètres!$A$3:$D$12,3,FALSE))</f>
        <v/>
      </c>
      <c r="X5" s="6" t="n">
        <v>10</v>
      </c>
      <c r="Y5" s="5">
        <f>SUM(T5:X5)</f>
        <v/>
      </c>
      <c r="Z5" s="5">
        <f>S5*VLOOKUP("Vieillesse (plaf. + déplaf.)",Paramètres!$A$3:$D$12,4,FALSE)</f>
        <v/>
      </c>
      <c r="AA5" s="5">
        <f>S5*VLOOKUP("Allocations familiales",Paramètres!$A$3:$D$12,4,FALSE)</f>
        <v/>
      </c>
      <c r="AB5" s="5">
        <f>S5*VLOOKUP("Accident du travail",Paramètres!$A$3:$D$12,4,FALSE)</f>
        <v/>
      </c>
      <c r="AC5" s="5">
        <f>S5*VLOOKUP("FNAL",Paramètres!$A$3:$D$12,4,FALSE)</f>
        <v/>
      </c>
      <c r="AD5" s="5">
        <f>S5*(VLOOKUP("Retraite complémentaire cadre",Paramètres!$A$3:$D$12,4,FALSE)+VLOOKUP("Maladie",Paramètres!$A$3:$D$12,4,FALSE)+VLOOKUP("Prévoyance cadre",Paramètres!$A$3:$D$12,4,FALSE))</f>
        <v/>
      </c>
      <c r="AE5" s="5">
        <f>SUM(Z5:AD5)</f>
        <v/>
      </c>
      <c r="AF5" s="5">
        <f>S5-Y5+S5*0.9825*VLOOKUP("CSG non déductible",Paramètres!$A$3:$D$12,3,FALSE)</f>
        <v/>
      </c>
      <c r="AG5" s="7" t="n">
        <v>0.03</v>
      </c>
      <c r="AH5" s="5">
        <f>AF5-X5</f>
        <v/>
      </c>
      <c r="AI5" s="5">
        <f>IF(AG5&gt;0,AF5*AG5,0)</f>
        <v/>
      </c>
      <c r="AJ5" s="5">
        <f>AH5-AI5</f>
        <v/>
      </c>
      <c r="AK5" s="5">
        <f>S5+AE5</f>
        <v/>
      </c>
      <c r="AL5" s="3" t="n">
        <v>20</v>
      </c>
      <c r="AM5" s="3" t="n">
        <v>5</v>
      </c>
      <c r="AN5" s="3" t="n">
        <v>9</v>
      </c>
      <c r="AO5" s="3" t="n">
        <v>3</v>
      </c>
      <c r="AP5" s="3">
        <f>IF(L5=0,"À contrôler","OK")</f>
        <v/>
      </c>
      <c r="AQ5" s="8">
        <f>IFERROR(AE5/S5,0)</f>
        <v/>
      </c>
    </row>
    <row r="6">
      <c r="A6" s="9" t="inlineStr">
        <is>
          <t>CAD004</t>
        </is>
      </c>
      <c r="B6" s="9" t="inlineStr">
        <is>
          <t>Laurent</t>
        </is>
      </c>
      <c r="C6" s="9" t="inlineStr">
        <is>
          <t>Hugo</t>
        </is>
      </c>
      <c r="D6" s="9" t="inlineStr">
        <is>
          <t>Ingénieur R&amp;D</t>
        </is>
      </c>
      <c r="E6" s="9" t="inlineStr">
        <is>
          <t>Cadre</t>
        </is>
      </c>
      <c r="F6" s="9" t="inlineStr">
        <is>
          <t>Métallurgie</t>
        </is>
      </c>
      <c r="G6" s="10" t="n">
        <v>43992</v>
      </c>
      <c r="H6" s="9" t="inlineStr">
        <is>
          <t>Excel Malin SAS</t>
        </is>
      </c>
      <c r="I6" s="9" t="inlineStr">
        <is>
          <t>Toulouse</t>
        </is>
      </c>
      <c r="J6" s="9" t="inlineStr">
        <is>
          <t>04/2026</t>
        </is>
      </c>
      <c r="K6" s="9" t="n">
        <v>21</v>
      </c>
      <c r="L6" s="9" t="n">
        <v>151.67</v>
      </c>
      <c r="M6" s="9" t="n">
        <v>164</v>
      </c>
      <c r="N6" s="9">
        <f>IF(M6&gt;L6,M6-L6,0)</f>
        <v/>
      </c>
      <c r="O6" s="11" t="n">
        <v>5800</v>
      </c>
      <c r="P6" s="11" t="n">
        <v>250</v>
      </c>
      <c r="Q6" s="11" t="n">
        <v>300</v>
      </c>
      <c r="R6" s="11" t="n">
        <v>60</v>
      </c>
      <c r="S6" s="11">
        <f>SUM(O6:R6)</f>
        <v/>
      </c>
      <c r="T6" s="11">
        <f>S6*VLOOKUP("Maladie",Paramètres!$A$3:$D$12,3,FALSE)</f>
        <v/>
      </c>
      <c r="U6" s="11">
        <f>S6*VLOOKUP("Retraite complémentaire cadre",Paramètres!$A$3:$D$12,3,FALSE)</f>
        <v/>
      </c>
      <c r="V6" s="11">
        <f>S6*VLOOKUP("Prévoyance cadre",Paramètres!$A$3:$D$12,3,FALSE)</f>
        <v/>
      </c>
      <c r="W6" s="11">
        <f>S6*0.9825*(VLOOKUP("CSG déductible",Paramètres!$A$3:$D$12,3,FALSE)+VLOOKUP("CSG non déductible",Paramètres!$A$3:$D$12,3,FALSE))</f>
        <v/>
      </c>
      <c r="X6" s="6" t="n">
        <v>20</v>
      </c>
      <c r="Y6" s="11">
        <f>SUM(T6:X6)</f>
        <v/>
      </c>
      <c r="Z6" s="11">
        <f>S6*VLOOKUP("Vieillesse (plaf. + déplaf.)",Paramètres!$A$3:$D$12,4,FALSE)</f>
        <v/>
      </c>
      <c r="AA6" s="11">
        <f>S6*VLOOKUP("Allocations familiales",Paramètres!$A$3:$D$12,4,FALSE)</f>
        <v/>
      </c>
      <c r="AB6" s="11">
        <f>S6*VLOOKUP("Accident du travail",Paramètres!$A$3:$D$12,4,FALSE)</f>
        <v/>
      </c>
      <c r="AC6" s="11">
        <f>S6*VLOOKUP("FNAL",Paramètres!$A$3:$D$12,4,FALSE)</f>
        <v/>
      </c>
      <c r="AD6" s="11">
        <f>S6*(VLOOKUP("Retraite complémentaire cadre",Paramètres!$A$3:$D$12,4,FALSE)+VLOOKUP("Maladie",Paramètres!$A$3:$D$12,4,FALSE)+VLOOKUP("Prévoyance cadre",Paramètres!$A$3:$D$12,4,FALSE))</f>
        <v/>
      </c>
      <c r="AE6" s="11">
        <f>SUM(Z6:AD6)</f>
        <v/>
      </c>
      <c r="AF6" s="11">
        <f>S6-Y6+S6*0.9825*VLOOKUP("CSG non déductible",Paramètres!$A$3:$D$12,3,FALSE)</f>
        <v/>
      </c>
      <c r="AG6" s="7" t="n">
        <v>0.11</v>
      </c>
      <c r="AH6" s="11">
        <f>AF6-X6</f>
        <v/>
      </c>
      <c r="AI6" s="11">
        <f>IF(AG6&gt;0,AF6*AG6,0)</f>
        <v/>
      </c>
      <c r="AJ6" s="11">
        <f>AH6-AI6</f>
        <v/>
      </c>
      <c r="AK6" s="11">
        <f>S6+AE6</f>
        <v/>
      </c>
      <c r="AL6" s="9" t="n">
        <v>25</v>
      </c>
      <c r="AM6" s="9" t="n">
        <v>2</v>
      </c>
      <c r="AN6" s="9" t="n">
        <v>11</v>
      </c>
      <c r="AO6" s="9" t="n">
        <v>4</v>
      </c>
      <c r="AP6" s="9">
        <f>IF(L6=0,"À contrôler","OK")</f>
        <v/>
      </c>
      <c r="AQ6" s="12">
        <f>IFERROR(AE6/S6,0)</f>
        <v/>
      </c>
    </row>
    <row r="7">
      <c r="A7" s="3" t="inlineStr">
        <is>
          <t>CAD005</t>
        </is>
      </c>
      <c r="B7" s="3" t="inlineStr">
        <is>
          <t>Moreau</t>
        </is>
      </c>
      <c r="C7" s="3" t="inlineStr">
        <is>
          <t>Léa</t>
        </is>
      </c>
      <c r="D7" s="3" t="inlineStr">
        <is>
          <t>Responsable RH</t>
        </is>
      </c>
      <c r="E7" s="3" t="inlineStr">
        <is>
          <t>Cadre</t>
        </is>
      </c>
      <c r="F7" s="3" t="inlineStr">
        <is>
          <t>Syntec</t>
        </is>
      </c>
      <c r="G7" s="4" t="n">
        <v>44522</v>
      </c>
      <c r="H7" s="3" t="inlineStr">
        <is>
          <t>Excel Malin SAS</t>
        </is>
      </c>
      <c r="I7" s="3" t="inlineStr">
        <is>
          <t>Bordeaux</t>
        </is>
      </c>
      <c r="J7" s="3" t="inlineStr">
        <is>
          <t>05/2026</t>
        </is>
      </c>
      <c r="K7" s="3" t="n">
        <v>20</v>
      </c>
      <c r="L7" s="3" t="n">
        <v>151.67</v>
      </c>
      <c r="M7" s="3" t="n">
        <v>151.67</v>
      </c>
      <c r="N7" s="3">
        <f>IF(M7&gt;L7,M7-L7,0)</f>
        <v/>
      </c>
      <c r="O7" s="5" t="n">
        <v>4300</v>
      </c>
      <c r="P7" s="5" t="n">
        <v>180</v>
      </c>
      <c r="Q7" s="5" t="n">
        <v>200</v>
      </c>
      <c r="R7" s="5" t="n">
        <v>0</v>
      </c>
      <c r="S7" s="5">
        <f>SUM(O7:R7)</f>
        <v/>
      </c>
      <c r="T7" s="5">
        <f>S7*VLOOKUP("Maladie",Paramètres!$A$3:$D$12,3,FALSE)</f>
        <v/>
      </c>
      <c r="U7" s="5">
        <f>S7*VLOOKUP("Retraite complémentaire cadre",Paramètres!$A$3:$D$12,3,FALSE)</f>
        <v/>
      </c>
      <c r="V7" s="5">
        <f>S7*VLOOKUP("Prévoyance cadre",Paramètres!$A$3:$D$12,3,FALSE)</f>
        <v/>
      </c>
      <c r="W7" s="5">
        <f>S7*0.9825*(VLOOKUP("CSG déductible",Paramètres!$A$3:$D$12,3,FALSE)+VLOOKUP("CSG non déductible",Paramètres!$A$3:$D$12,3,FALSE))</f>
        <v/>
      </c>
      <c r="X7" s="6" t="n">
        <v>12</v>
      </c>
      <c r="Y7" s="5">
        <f>SUM(T7:X7)</f>
        <v/>
      </c>
      <c r="Z7" s="5">
        <f>S7*VLOOKUP("Vieillesse (plaf. + déplaf.)",Paramètres!$A$3:$D$12,4,FALSE)</f>
        <v/>
      </c>
      <c r="AA7" s="5">
        <f>S7*VLOOKUP("Allocations familiales",Paramètres!$A$3:$D$12,4,FALSE)</f>
        <v/>
      </c>
      <c r="AB7" s="5">
        <f>S7*VLOOKUP("Accident du travail",Paramètres!$A$3:$D$12,4,FALSE)</f>
        <v/>
      </c>
      <c r="AC7" s="5">
        <f>S7*VLOOKUP("FNAL",Paramètres!$A$3:$D$12,4,FALSE)</f>
        <v/>
      </c>
      <c r="AD7" s="5">
        <f>S7*(VLOOKUP("Retraite complémentaire cadre",Paramètres!$A$3:$D$12,4,FALSE)+VLOOKUP("Maladie",Paramètres!$A$3:$D$12,4,FALSE)+VLOOKUP("Prévoyance cadre",Paramètres!$A$3:$D$12,4,FALSE))</f>
        <v/>
      </c>
      <c r="AE7" s="5">
        <f>SUM(Z7:AD7)</f>
        <v/>
      </c>
      <c r="AF7" s="5">
        <f>S7-Y7+S7*0.9825*VLOOKUP("CSG non déductible",Paramètres!$A$3:$D$12,3,FALSE)</f>
        <v/>
      </c>
      <c r="AG7" s="7" t="n">
        <v>0.05</v>
      </c>
      <c r="AH7" s="5">
        <f>AF7-X7</f>
        <v/>
      </c>
      <c r="AI7" s="5">
        <f>IF(AG7&gt;0,AF7*AG7,0)</f>
        <v/>
      </c>
      <c r="AJ7" s="5">
        <f>AH7-AI7</f>
        <v/>
      </c>
      <c r="AK7" s="5">
        <f>S7+AE7</f>
        <v/>
      </c>
      <c r="AL7" s="3" t="n">
        <v>23</v>
      </c>
      <c r="AM7" s="3" t="n">
        <v>6</v>
      </c>
      <c r="AN7" s="3" t="n">
        <v>10</v>
      </c>
      <c r="AO7" s="3" t="n">
        <v>5</v>
      </c>
      <c r="AP7" s="3">
        <f>IF(L7=0,"À contrôler","OK")</f>
        <v/>
      </c>
      <c r="AQ7" s="8">
        <f>IFERROR(AE7/S7,0)</f>
        <v/>
      </c>
    </row>
    <row r="8">
      <c r="A8" s="9" t="inlineStr">
        <is>
          <t>CAD006</t>
        </is>
      </c>
      <c r="B8" s="9" t="inlineStr">
        <is>
          <t>Simon</t>
        </is>
      </c>
      <c r="C8" s="9" t="inlineStr">
        <is>
          <t>Louis</t>
        </is>
      </c>
      <c r="D8" s="9" t="inlineStr">
        <is>
          <t>Directeur Financier</t>
        </is>
      </c>
      <c r="E8" s="9" t="inlineStr">
        <is>
          <t>Cadre</t>
        </is>
      </c>
      <c r="F8" s="9" t="inlineStr">
        <is>
          <t>Commerce de gros</t>
        </is>
      </c>
      <c r="G8" s="10" t="n">
        <v>43529</v>
      </c>
      <c r="H8" s="9" t="inlineStr">
        <is>
          <t>Excel Malin SAS</t>
        </is>
      </c>
      <c r="I8" s="9" t="inlineStr">
        <is>
          <t>Lille</t>
        </is>
      </c>
      <c r="J8" s="9" t="inlineStr">
        <is>
          <t>06/2026</t>
        </is>
      </c>
      <c r="K8" s="9" t="n">
        <v>21</v>
      </c>
      <c r="L8" s="9" t="n">
        <v>151.67</v>
      </c>
      <c r="M8" s="9" t="n">
        <v>151.67</v>
      </c>
      <c r="N8" s="9">
        <f>IF(M8&gt;L8,M8-L8,0)</f>
        <v/>
      </c>
      <c r="O8" s="11" t="n">
        <v>6500</v>
      </c>
      <c r="P8" s="11" t="n">
        <v>400</v>
      </c>
      <c r="Q8" s="11" t="n">
        <v>700</v>
      </c>
      <c r="R8" s="11" t="n">
        <v>120</v>
      </c>
      <c r="S8" s="11">
        <f>SUM(O8:R8)</f>
        <v/>
      </c>
      <c r="T8" s="11">
        <f>S8*VLOOKUP("Maladie",Paramètres!$A$3:$D$12,3,FALSE)</f>
        <v/>
      </c>
      <c r="U8" s="11">
        <f>S8*VLOOKUP("Retraite complémentaire cadre",Paramètres!$A$3:$D$12,3,FALSE)</f>
        <v/>
      </c>
      <c r="V8" s="11">
        <f>S8*VLOOKUP("Prévoyance cadre",Paramètres!$A$3:$D$12,3,FALSE)</f>
        <v/>
      </c>
      <c r="W8" s="11">
        <f>S8*0.9825*(VLOOKUP("CSG déductible",Paramètres!$A$3:$D$12,3,FALSE)+VLOOKUP("CSG non déductible",Paramètres!$A$3:$D$12,3,FALSE))</f>
        <v/>
      </c>
      <c r="X8" s="6" t="n">
        <v>30</v>
      </c>
      <c r="Y8" s="11">
        <f>SUM(T8:X8)</f>
        <v/>
      </c>
      <c r="Z8" s="11">
        <f>S8*VLOOKUP("Vieillesse (plaf. + déplaf.)",Paramètres!$A$3:$D$12,4,FALSE)</f>
        <v/>
      </c>
      <c r="AA8" s="11">
        <f>S8*VLOOKUP("Allocations familiales",Paramètres!$A$3:$D$12,4,FALSE)</f>
        <v/>
      </c>
      <c r="AB8" s="11">
        <f>S8*VLOOKUP("Accident du travail",Paramètres!$A$3:$D$12,4,FALSE)</f>
        <v/>
      </c>
      <c r="AC8" s="11">
        <f>S8*VLOOKUP("FNAL",Paramètres!$A$3:$D$12,4,FALSE)</f>
        <v/>
      </c>
      <c r="AD8" s="11">
        <f>S8*(VLOOKUP("Retraite complémentaire cadre",Paramètres!$A$3:$D$12,4,FALSE)+VLOOKUP("Maladie",Paramètres!$A$3:$D$12,4,FALSE)+VLOOKUP("Prévoyance cadre",Paramètres!$A$3:$D$12,4,FALSE))</f>
        <v/>
      </c>
      <c r="AE8" s="11">
        <f>SUM(Z8:AD8)</f>
        <v/>
      </c>
      <c r="AF8" s="11">
        <f>S8-Y8+S8*0.9825*VLOOKUP("CSG non déductible",Paramètres!$A$3:$D$12,3,FALSE)</f>
        <v/>
      </c>
      <c r="AG8" s="7" t="n">
        <v>0.14</v>
      </c>
      <c r="AH8" s="11">
        <f>AF8-X8</f>
        <v/>
      </c>
      <c r="AI8" s="11">
        <f>IF(AG8&gt;0,AF8*AG8,0)</f>
        <v/>
      </c>
      <c r="AJ8" s="11">
        <f>AH8-AI8</f>
        <v/>
      </c>
      <c r="AK8" s="11">
        <f>S8+AE8</f>
        <v/>
      </c>
      <c r="AL8" s="9" t="n">
        <v>25</v>
      </c>
      <c r="AM8" s="9" t="n">
        <v>8</v>
      </c>
      <c r="AN8" s="9" t="n">
        <v>12</v>
      </c>
      <c r="AO8" s="9" t="n">
        <v>6</v>
      </c>
      <c r="AP8" s="9">
        <f>IF(L8=0,"À contrôler","OK")</f>
        <v/>
      </c>
      <c r="AQ8" s="12">
        <f>IFERROR(AE8/S8,0)</f>
        <v/>
      </c>
    </row>
    <row r="9">
      <c r="A9" s="3" t="inlineStr">
        <is>
          <t>CAD007</t>
        </is>
      </c>
      <c r="B9" s="3" t="inlineStr">
        <is>
          <t>Lefèvre</t>
        </is>
      </c>
      <c r="C9" s="3" t="inlineStr">
        <is>
          <t>Chloé</t>
        </is>
      </c>
      <c r="D9" s="3" t="inlineStr">
        <is>
          <t>Responsable Achats</t>
        </is>
      </c>
      <c r="E9" s="3" t="inlineStr">
        <is>
          <t>Cadre</t>
        </is>
      </c>
      <c r="F9" s="3" t="inlineStr">
        <is>
          <t>Syntec</t>
        </is>
      </c>
      <c r="G9" s="4" t="n">
        <v>44665</v>
      </c>
      <c r="H9" s="3" t="inlineStr">
        <is>
          <t>Excel Malin SAS</t>
        </is>
      </c>
      <c r="I9" s="3" t="inlineStr">
        <is>
          <t>Nantes</t>
        </is>
      </c>
      <c r="J9" s="3" t="inlineStr">
        <is>
          <t>07/2026</t>
        </is>
      </c>
      <c r="K9" s="3" t="n">
        <v>22</v>
      </c>
      <c r="L9" s="3" t="n">
        <v>151.67</v>
      </c>
      <c r="M9" s="3" t="n">
        <v>151.67</v>
      </c>
      <c r="N9" s="3">
        <f>IF(M9&gt;L9,M9-L9,0)</f>
        <v/>
      </c>
      <c r="O9" s="5" t="n">
        <v>4100</v>
      </c>
      <c r="P9" s="5" t="n">
        <v>150</v>
      </c>
      <c r="Q9" s="5" t="n">
        <v>100</v>
      </c>
      <c r="R9" s="5" t="n">
        <v>0</v>
      </c>
      <c r="S9" s="5">
        <f>SUM(O9:R9)</f>
        <v/>
      </c>
      <c r="T9" s="5">
        <f>S9*VLOOKUP("Maladie",Paramètres!$A$3:$D$12,3,FALSE)</f>
        <v/>
      </c>
      <c r="U9" s="5">
        <f>S9*VLOOKUP("Retraite complémentaire cadre",Paramètres!$A$3:$D$12,3,FALSE)</f>
        <v/>
      </c>
      <c r="V9" s="5">
        <f>S9*VLOOKUP("Prévoyance cadre",Paramètres!$A$3:$D$12,3,FALSE)</f>
        <v/>
      </c>
      <c r="W9" s="5">
        <f>S9*0.9825*(VLOOKUP("CSG déductible",Paramètres!$A$3:$D$12,3,FALSE)+VLOOKUP("CSG non déductible",Paramètres!$A$3:$D$12,3,FALSE))</f>
        <v/>
      </c>
      <c r="X9" s="6" t="n">
        <v>8</v>
      </c>
      <c r="Y9" s="5">
        <f>SUM(T9:X9)</f>
        <v/>
      </c>
      <c r="Z9" s="5">
        <f>S9*VLOOKUP("Vieillesse (plaf. + déplaf.)",Paramètres!$A$3:$D$12,4,FALSE)</f>
        <v/>
      </c>
      <c r="AA9" s="5">
        <f>S9*VLOOKUP("Allocations familiales",Paramètres!$A$3:$D$12,4,FALSE)</f>
        <v/>
      </c>
      <c r="AB9" s="5">
        <f>S9*VLOOKUP("Accident du travail",Paramètres!$A$3:$D$12,4,FALSE)</f>
        <v/>
      </c>
      <c r="AC9" s="5">
        <f>S9*VLOOKUP("FNAL",Paramètres!$A$3:$D$12,4,FALSE)</f>
        <v/>
      </c>
      <c r="AD9" s="5">
        <f>S9*(VLOOKUP("Retraite complémentaire cadre",Paramètres!$A$3:$D$12,4,FALSE)+VLOOKUP("Maladie",Paramètres!$A$3:$D$12,4,FALSE)+VLOOKUP("Prévoyance cadre",Paramètres!$A$3:$D$12,4,FALSE))</f>
        <v/>
      </c>
      <c r="AE9" s="5">
        <f>SUM(Z9:AD9)</f>
        <v/>
      </c>
      <c r="AF9" s="5">
        <f>S9-Y9+S9*0.9825*VLOOKUP("CSG non déductible",Paramètres!$A$3:$D$12,3,FALSE)</f>
        <v/>
      </c>
      <c r="AG9" s="7" t="n">
        <v>0.04</v>
      </c>
      <c r="AH9" s="5">
        <f>AF9-X9</f>
        <v/>
      </c>
      <c r="AI9" s="5">
        <f>IF(AG9&gt;0,AF9*AG9,0)</f>
        <v/>
      </c>
      <c r="AJ9" s="5">
        <f>AH9-AI9</f>
        <v/>
      </c>
      <c r="AK9" s="5">
        <f>S9+AE9</f>
        <v/>
      </c>
      <c r="AL9" s="3" t="n">
        <v>21</v>
      </c>
      <c r="AM9" s="3" t="n">
        <v>4</v>
      </c>
      <c r="AN9" s="3" t="n">
        <v>9</v>
      </c>
      <c r="AO9" s="3" t="n">
        <v>2</v>
      </c>
      <c r="AP9" s="3">
        <f>IF(L9=0,"À contrôler","OK")</f>
        <v/>
      </c>
      <c r="AQ9" s="8">
        <f>IFERROR(AE9/S9,0)</f>
        <v/>
      </c>
    </row>
    <row r="10">
      <c r="A10" s="9" t="inlineStr">
        <is>
          <t>CAD008</t>
        </is>
      </c>
      <c r="B10" s="9" t="inlineStr">
        <is>
          <t>Roux</t>
        </is>
      </c>
      <c r="C10" s="9" t="inlineStr">
        <is>
          <t>Nathan</t>
        </is>
      </c>
      <c r="D10" s="9" t="inlineStr">
        <is>
          <t>Ingénieur Qualité</t>
        </is>
      </c>
      <c r="E10" s="9" t="inlineStr">
        <is>
          <t>Cadre</t>
        </is>
      </c>
      <c r="F10" s="9" t="inlineStr">
        <is>
          <t>Métallurgie</t>
        </is>
      </c>
      <c r="G10" s="10" t="n">
        <v>45168</v>
      </c>
      <c r="H10" s="9" t="inlineStr">
        <is>
          <t>Excel Malin SAS</t>
        </is>
      </c>
      <c r="I10" s="9" t="inlineStr">
        <is>
          <t>Strasbourg</t>
        </is>
      </c>
      <c r="J10" s="9" t="inlineStr">
        <is>
          <t>08/2026</t>
        </is>
      </c>
      <c r="K10" s="9" t="n">
        <v>21</v>
      </c>
      <c r="L10" s="9" t="n">
        <v>151.67</v>
      </c>
      <c r="M10" s="9" t="n">
        <v>155</v>
      </c>
      <c r="N10" s="9">
        <f>IF(M10&gt;L10,M10-L10,0)</f>
        <v/>
      </c>
      <c r="O10" s="11" t="n">
        <v>3200</v>
      </c>
      <c r="P10" s="11" t="n">
        <v>100</v>
      </c>
      <c r="Q10" s="11" t="n">
        <v>0</v>
      </c>
      <c r="R10" s="11" t="n">
        <v>0</v>
      </c>
      <c r="S10" s="11">
        <f>SUM(O10:R10)</f>
        <v/>
      </c>
      <c r="T10" s="11">
        <f>S10*VLOOKUP("Maladie",Paramètres!$A$3:$D$12,3,FALSE)</f>
        <v/>
      </c>
      <c r="U10" s="11">
        <f>S10*VLOOKUP("Retraite complémentaire cadre",Paramètres!$A$3:$D$12,3,FALSE)</f>
        <v/>
      </c>
      <c r="V10" s="11">
        <f>S10*VLOOKUP("Prévoyance cadre",Paramètres!$A$3:$D$12,3,FALSE)</f>
        <v/>
      </c>
      <c r="W10" s="11">
        <f>S10*0.9825*(VLOOKUP("CSG déductible",Paramètres!$A$3:$D$12,3,FALSE)+VLOOKUP("CSG non déductible",Paramètres!$A$3:$D$12,3,FALSE))</f>
        <v/>
      </c>
      <c r="X10" s="6" t="n">
        <v>5</v>
      </c>
      <c r="Y10" s="11">
        <f>SUM(T10:X10)</f>
        <v/>
      </c>
      <c r="Z10" s="11">
        <f>S10*VLOOKUP("Vieillesse (plaf. + déplaf.)",Paramètres!$A$3:$D$12,4,FALSE)</f>
        <v/>
      </c>
      <c r="AA10" s="11">
        <f>S10*VLOOKUP("Allocations familiales",Paramètres!$A$3:$D$12,4,FALSE)</f>
        <v/>
      </c>
      <c r="AB10" s="11">
        <f>S10*VLOOKUP("Accident du travail",Paramètres!$A$3:$D$12,4,FALSE)</f>
        <v/>
      </c>
      <c r="AC10" s="11">
        <f>S10*VLOOKUP("FNAL",Paramètres!$A$3:$D$12,4,FALSE)</f>
        <v/>
      </c>
      <c r="AD10" s="11">
        <f>S10*(VLOOKUP("Retraite complémentaire cadre",Paramètres!$A$3:$D$12,4,FALSE)+VLOOKUP("Maladie",Paramètres!$A$3:$D$12,4,FALSE)+VLOOKUP("Prévoyance cadre",Paramètres!$A$3:$D$12,4,FALSE))</f>
        <v/>
      </c>
      <c r="AE10" s="11">
        <f>SUM(Z10:AD10)</f>
        <v/>
      </c>
      <c r="AF10" s="11">
        <f>S10-Y10+S10*0.9825*VLOOKUP("CSG non déductible",Paramètres!$A$3:$D$12,3,FALSE)</f>
        <v/>
      </c>
      <c r="AG10" s="7" t="n">
        <v>0</v>
      </c>
      <c r="AH10" s="11">
        <f>AF10-X10</f>
        <v/>
      </c>
      <c r="AI10" s="11">
        <f>IF(AG10&gt;0,AF10*AG10,0)</f>
        <v/>
      </c>
      <c r="AJ10" s="11">
        <f>AH10-AI10</f>
        <v/>
      </c>
      <c r="AK10" s="11">
        <f>S10+AE10</f>
        <v/>
      </c>
      <c r="AL10" s="9" t="n">
        <v>18</v>
      </c>
      <c r="AM10" s="9" t="n">
        <v>1</v>
      </c>
      <c r="AN10" s="9" t="n">
        <v>7</v>
      </c>
      <c r="AO10" s="9" t="n">
        <v>0</v>
      </c>
      <c r="AP10" s="9">
        <f>IF(L10=0,"À contrôler","OK")</f>
        <v/>
      </c>
      <c r="AQ10" s="12">
        <f>IFERROR(AE10/S10,0)</f>
        <v/>
      </c>
    </row>
    <row r="11">
      <c r="A11" s="3" t="inlineStr">
        <is>
          <t>CAD009</t>
        </is>
      </c>
      <c r="B11" s="3" t="inlineStr">
        <is>
          <t>Petit</t>
        </is>
      </c>
      <c r="C11" s="3" t="inlineStr">
        <is>
          <t>Manon</t>
        </is>
      </c>
      <c r="D11" s="3" t="inlineStr">
        <is>
          <t>Cheffe de Produit</t>
        </is>
      </c>
      <c r="E11" s="3" t="inlineStr">
        <is>
          <t>Cadre</t>
        </is>
      </c>
      <c r="F11" s="3" t="inlineStr">
        <is>
          <t>Syntec</t>
        </is>
      </c>
      <c r="G11" s="4" t="n">
        <v>44579</v>
      </c>
      <c r="H11" s="3" t="inlineStr">
        <is>
          <t>Excel Malin SAS</t>
        </is>
      </c>
      <c r="I11" s="3" t="inlineStr">
        <is>
          <t>Nice</t>
        </is>
      </c>
      <c r="J11" s="3" t="inlineStr">
        <is>
          <t>09/2026</t>
        </is>
      </c>
      <c r="K11" s="3" t="n">
        <v>20</v>
      </c>
      <c r="L11" s="3" t="n">
        <v>151.67</v>
      </c>
      <c r="M11" s="3" t="n">
        <v>151.67</v>
      </c>
      <c r="N11" s="3">
        <f>IF(M11&gt;L11,M11-L11,0)</f>
        <v/>
      </c>
      <c r="O11" s="5" t="n">
        <v>4800</v>
      </c>
      <c r="P11" s="5" t="n">
        <v>220</v>
      </c>
      <c r="Q11" s="5" t="n">
        <v>350</v>
      </c>
      <c r="R11" s="5" t="n">
        <v>50</v>
      </c>
      <c r="S11" s="5">
        <f>SUM(O11:R11)</f>
        <v/>
      </c>
      <c r="T11" s="5">
        <f>S11*VLOOKUP("Maladie",Paramètres!$A$3:$D$12,3,FALSE)</f>
        <v/>
      </c>
      <c r="U11" s="5">
        <f>S11*VLOOKUP("Retraite complémentaire cadre",Paramètres!$A$3:$D$12,3,FALSE)</f>
        <v/>
      </c>
      <c r="V11" s="5">
        <f>S11*VLOOKUP("Prévoyance cadre",Paramètres!$A$3:$D$12,3,FALSE)</f>
        <v/>
      </c>
      <c r="W11" s="5">
        <f>S11*0.9825*(VLOOKUP("CSG déductible",Paramètres!$A$3:$D$12,3,FALSE)+VLOOKUP("CSG non déductible",Paramètres!$A$3:$D$12,3,FALSE))</f>
        <v/>
      </c>
      <c r="X11" s="6" t="n">
        <v>18</v>
      </c>
      <c r="Y11" s="5">
        <f>SUM(T11:X11)</f>
        <v/>
      </c>
      <c r="Z11" s="5">
        <f>S11*VLOOKUP("Vieillesse (plaf. + déplaf.)",Paramètres!$A$3:$D$12,4,FALSE)</f>
        <v/>
      </c>
      <c r="AA11" s="5">
        <f>S11*VLOOKUP("Allocations familiales",Paramètres!$A$3:$D$12,4,FALSE)</f>
        <v/>
      </c>
      <c r="AB11" s="5">
        <f>S11*VLOOKUP("Accident du travail",Paramètres!$A$3:$D$12,4,FALSE)</f>
        <v/>
      </c>
      <c r="AC11" s="5">
        <f>S11*VLOOKUP("FNAL",Paramètres!$A$3:$D$12,4,FALSE)</f>
        <v/>
      </c>
      <c r="AD11" s="5">
        <f>S11*(VLOOKUP("Retraite complémentaire cadre",Paramètres!$A$3:$D$12,4,FALSE)+VLOOKUP("Maladie",Paramètres!$A$3:$D$12,4,FALSE)+VLOOKUP("Prévoyance cadre",Paramètres!$A$3:$D$12,4,FALSE))</f>
        <v/>
      </c>
      <c r="AE11" s="5">
        <f>SUM(Z11:AD11)</f>
        <v/>
      </c>
      <c r="AF11" s="5">
        <f>S11-Y11+S11*0.9825*VLOOKUP("CSG non déductible",Paramètres!$A$3:$D$12,3,FALSE)</f>
        <v/>
      </c>
      <c r="AG11" s="7" t="n">
        <v>0.08</v>
      </c>
      <c r="AH11" s="5">
        <f>AF11-X11</f>
        <v/>
      </c>
      <c r="AI11" s="5">
        <f>IF(AG11&gt;0,AF11*AG11,0)</f>
        <v/>
      </c>
      <c r="AJ11" s="5">
        <f>AH11-AI11</f>
        <v/>
      </c>
      <c r="AK11" s="5">
        <f>S11+AE11</f>
        <v/>
      </c>
      <c r="AL11" s="3" t="n">
        <v>24</v>
      </c>
      <c r="AM11" s="3" t="n">
        <v>7</v>
      </c>
      <c r="AN11" s="3" t="n">
        <v>10</v>
      </c>
      <c r="AO11" s="3" t="n">
        <v>3</v>
      </c>
      <c r="AP11" s="3">
        <f>IF(L11=0,"À contrôler","OK")</f>
        <v/>
      </c>
      <c r="AQ11" s="8">
        <f>IFERROR(AE11/S11,0)</f>
        <v/>
      </c>
    </row>
    <row r="12">
      <c r="A12" s="9" t="inlineStr">
        <is>
          <t>CAD010</t>
        </is>
      </c>
      <c r="B12" s="9" t="inlineStr">
        <is>
          <t>Robert</t>
        </is>
      </c>
      <c r="C12" s="9" t="inlineStr">
        <is>
          <t>Théo</t>
        </is>
      </c>
      <c r="D12" s="9" t="inlineStr">
        <is>
          <t>Responsable Logistique</t>
        </is>
      </c>
      <c r="E12" s="9" t="inlineStr">
        <is>
          <t>Cadre</t>
        </is>
      </c>
      <c r="F12" s="9" t="inlineStr">
        <is>
          <t>Transport routier</t>
        </is>
      </c>
      <c r="G12" s="10" t="n">
        <v>44019</v>
      </c>
      <c r="H12" s="9" t="inlineStr">
        <is>
          <t>Excel Malin SAS</t>
        </is>
      </c>
      <c r="I12" s="9" t="inlineStr">
        <is>
          <t>Rennes</t>
        </is>
      </c>
      <c r="J12" s="9" t="inlineStr">
        <is>
          <t>10/2026</t>
        </is>
      </c>
      <c r="K12" s="9" t="n">
        <v>21</v>
      </c>
      <c r="L12" s="9" t="n">
        <v>151.67</v>
      </c>
      <c r="M12" s="9" t="n">
        <v>151.67</v>
      </c>
      <c r="N12" s="9">
        <f>IF(M12&gt;L12,M12-L12,0)</f>
        <v/>
      </c>
      <c r="O12" s="11" t="n">
        <v>3600</v>
      </c>
      <c r="P12" s="11" t="n">
        <v>120</v>
      </c>
      <c r="Q12" s="11" t="n">
        <v>50</v>
      </c>
      <c r="R12" s="11" t="n">
        <v>0</v>
      </c>
      <c r="S12" s="11">
        <f>SUM(O12:R12)</f>
        <v/>
      </c>
      <c r="T12" s="11">
        <f>S12*VLOOKUP("Maladie",Paramètres!$A$3:$D$12,3,FALSE)</f>
        <v/>
      </c>
      <c r="U12" s="11">
        <f>S12*VLOOKUP("Retraite complémentaire cadre",Paramètres!$A$3:$D$12,3,FALSE)</f>
        <v/>
      </c>
      <c r="V12" s="11">
        <f>S12*VLOOKUP("Prévoyance cadre",Paramètres!$A$3:$D$12,3,FALSE)</f>
        <v/>
      </c>
      <c r="W12" s="11">
        <f>S12*0.9825*(VLOOKUP("CSG déductible",Paramètres!$A$3:$D$12,3,FALSE)+VLOOKUP("CSG non déductible",Paramètres!$A$3:$D$12,3,FALSE))</f>
        <v/>
      </c>
      <c r="X12" s="6" t="n">
        <v>10</v>
      </c>
      <c r="Y12" s="11">
        <f>SUM(T12:X12)</f>
        <v/>
      </c>
      <c r="Z12" s="11">
        <f>S12*VLOOKUP("Vieillesse (plaf. + déplaf.)",Paramètres!$A$3:$D$12,4,FALSE)</f>
        <v/>
      </c>
      <c r="AA12" s="11">
        <f>S12*VLOOKUP("Allocations familiales",Paramètres!$A$3:$D$12,4,FALSE)</f>
        <v/>
      </c>
      <c r="AB12" s="11">
        <f>S12*VLOOKUP("Accident du travail",Paramètres!$A$3:$D$12,4,FALSE)</f>
        <v/>
      </c>
      <c r="AC12" s="11">
        <f>S12*VLOOKUP("FNAL",Paramètres!$A$3:$D$12,4,FALSE)</f>
        <v/>
      </c>
      <c r="AD12" s="11">
        <f>S12*(VLOOKUP("Retraite complémentaire cadre",Paramètres!$A$3:$D$12,4,FALSE)+VLOOKUP("Maladie",Paramètres!$A$3:$D$12,4,FALSE)+VLOOKUP("Prévoyance cadre",Paramètres!$A$3:$D$12,4,FALSE))</f>
        <v/>
      </c>
      <c r="AE12" s="11">
        <f>SUM(Z12:AD12)</f>
        <v/>
      </c>
      <c r="AF12" s="11">
        <f>S12-Y12+S12*0.9825*VLOOKUP("CSG non déductible",Paramètres!$A$3:$D$12,3,FALSE)</f>
        <v/>
      </c>
      <c r="AG12" s="7" t="n">
        <v>0.02</v>
      </c>
      <c r="AH12" s="11">
        <f>AF12-X12</f>
        <v/>
      </c>
      <c r="AI12" s="11">
        <f>IF(AG12&gt;0,AF12*AG12,0)</f>
        <v/>
      </c>
      <c r="AJ12" s="11">
        <f>AH12-AI12</f>
        <v/>
      </c>
      <c r="AK12" s="11">
        <f>S12+AE12</f>
        <v/>
      </c>
      <c r="AL12" s="9" t="n">
        <v>19</v>
      </c>
      <c r="AM12" s="9" t="n">
        <v>2</v>
      </c>
      <c r="AN12" s="9" t="n">
        <v>8</v>
      </c>
      <c r="AO12" s="9" t="n">
        <v>1</v>
      </c>
      <c r="AP12" s="9">
        <f>IF(L12=0,"À contrôler","OK")</f>
        <v/>
      </c>
      <c r="AQ12" s="12">
        <f>IFERROR(AE12/S12,0)</f>
        <v/>
      </c>
    </row>
    <row r="13">
      <c r="A13" s="13" t="n"/>
      <c r="B13" s="13" t="inlineStr">
        <is>
          <t>TOTAUX / MOYENNES</t>
        </is>
      </c>
      <c r="C13" s="13" t="n"/>
      <c r="D13" s="13" t="n"/>
      <c r="E13" s="13" t="n"/>
      <c r="F13" s="13" t="n"/>
      <c r="G13" s="13" t="n"/>
      <c r="H13" s="13" t="n"/>
      <c r="I13" s="13" t="n"/>
      <c r="J13" s="13" t="n"/>
      <c r="K13" s="13" t="n"/>
      <c r="L13" s="13" t="n"/>
      <c r="M13" s="13" t="n"/>
      <c r="N13" s="13" t="n"/>
      <c r="O13" s="14">
        <f>SUM(O3:O12)</f>
        <v/>
      </c>
      <c r="P13" s="14">
        <f>SUM(P3:P12)</f>
        <v/>
      </c>
      <c r="Q13" s="14">
        <f>SUM(Q3:Q12)</f>
        <v/>
      </c>
      <c r="R13" s="14">
        <f>SUM(R3:R12)</f>
        <v/>
      </c>
      <c r="S13" s="14">
        <f>SUM(S3:S12)</f>
        <v/>
      </c>
      <c r="T13" s="14">
        <f>SUM(T3:T12)</f>
        <v/>
      </c>
      <c r="U13" s="14">
        <f>SUM(U3:U12)</f>
        <v/>
      </c>
      <c r="V13" s="14">
        <f>SUM(V3:V12)</f>
        <v/>
      </c>
      <c r="W13" s="14">
        <f>SUM(W3:W12)</f>
        <v/>
      </c>
      <c r="X13" s="14">
        <f>SUM(X3:X12)</f>
        <v/>
      </c>
      <c r="Y13" s="14">
        <f>SUM(Y3:Y12)</f>
        <v/>
      </c>
      <c r="Z13" s="14">
        <f>SUM(Z3:Z12)</f>
        <v/>
      </c>
      <c r="AA13" s="14">
        <f>SUM(AA3:AA12)</f>
        <v/>
      </c>
      <c r="AB13" s="14">
        <f>SUM(AB3:AB12)</f>
        <v/>
      </c>
      <c r="AC13" s="14">
        <f>SUM(AC3:AC12)</f>
        <v/>
      </c>
      <c r="AD13" s="14">
        <f>SUM(AD3:AD12)</f>
        <v/>
      </c>
      <c r="AE13" s="14">
        <f>SUM(AE3:AE12)</f>
        <v/>
      </c>
      <c r="AF13" s="14">
        <f>SUM(AF3:AF12)</f>
        <v/>
      </c>
      <c r="AG13" s="15">
        <f>AVERAGE(AG3:AG12)</f>
        <v/>
      </c>
      <c r="AH13" s="14">
        <f>SUM(AH3:AH12)</f>
        <v/>
      </c>
      <c r="AI13" s="14">
        <f>SUM(AI3:AI12)</f>
        <v/>
      </c>
      <c r="AJ13" s="14">
        <f>SUM(AJ3:AJ12)</f>
        <v/>
      </c>
      <c r="AK13" s="14">
        <f>SUM(AK3:AK12)</f>
        <v/>
      </c>
      <c r="AL13" s="13">
        <f>SUM(AL3:AL12)</f>
        <v/>
      </c>
      <c r="AM13" s="13">
        <f>SUM(AM3:AM12)</f>
        <v/>
      </c>
      <c r="AN13" s="13">
        <f>SUM(AN3:AN12)</f>
        <v/>
      </c>
      <c r="AO13" s="13">
        <f>SUM(AO3:AO12)</f>
        <v/>
      </c>
      <c r="AP13" s="13" t="n"/>
      <c r="AQ13" s="15">
        <f>IFERROR(AE13/S13,0)</f>
        <v/>
      </c>
    </row>
  </sheetData>
  <mergeCells count="1">
    <mergeCell ref="A1:AQ1"/>
  </mergeCells>
  <conditionalFormatting sqref="AJ3:AJ12">
    <cfRule type="cellIs" priority="1" operator="lessThan" dxfId="0" stopIfTrue="1">
      <formula>0</formula>
    </cfRule>
  </conditionalFormatting>
  <conditionalFormatting sqref="AP3:AP12">
    <cfRule type="expression" priority="2" dxfId="0" stopIfTrue="1">
      <formula>AP3="À contrôler"</formula>
    </cfRule>
  </conditionalFormatting>
  <conditionalFormatting sqref="N3:N12">
    <cfRule type="cellIs" priority="3" operator="greaterThan" dxfId="1" stopIfTrue="1">
      <formula>0</formula>
    </cfRule>
  </conditionalFormatting>
  <dataValidations count="1">
    <dataValidation sqref="E3:E12" showErrorMessage="1" showInputMessage="1" allowBlank="0" type="list">
      <formula1>"Cadre,Non cadre"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32" customWidth="1" min="1" max="1"/>
    <col width="18" customWidth="1" min="2" max="2"/>
    <col width="14" customWidth="1" min="3" max="3"/>
    <col width="14" customWidth="1" min="4" max="4"/>
    <col width="16" customWidth="1" min="5" max="5"/>
    <col width="40" customWidth="1" min="6" max="6"/>
  </cols>
  <sheetData>
    <row r="1" ht="24" customHeight="1">
      <c r="A1" s="16" t="inlineStr">
        <is>
          <t>PARAMÈTRES — TAUX DE COTISATIONS 2026</t>
        </is>
      </c>
    </row>
    <row r="2" ht="30" customHeight="1">
      <c r="A2" s="2" t="inlineStr">
        <is>
          <t>Rubrique</t>
        </is>
      </c>
      <c r="B2" s="2" t="inlineStr">
        <is>
          <t>Type de taux</t>
        </is>
      </c>
      <c r="C2" s="2" t="inlineStr">
        <is>
          <t>Taux salarié</t>
        </is>
      </c>
      <c r="D2" s="2" t="inlineStr">
        <is>
          <t>Taux patronal</t>
        </is>
      </c>
      <c r="E2" s="2" t="inlineStr">
        <is>
          <t>Base de calcul</t>
        </is>
      </c>
      <c r="F2" s="2" t="inlineStr">
        <is>
          <t>Commentaire</t>
        </is>
      </c>
    </row>
    <row r="3">
      <c r="A3" s="9" t="inlineStr">
        <is>
          <t>Retraite complémentaire cadre</t>
        </is>
      </c>
      <c r="B3" s="9" t="inlineStr">
        <is>
          <t>Salarié + Patronal</t>
        </is>
      </c>
      <c r="C3" s="12" t="n">
        <v>0.0315</v>
      </c>
      <c r="D3" s="12" t="n">
        <v>0.0472</v>
      </c>
      <c r="E3" s="9" t="inlineStr">
        <is>
          <t>Total brut</t>
        </is>
      </c>
      <c r="F3" s="9" t="inlineStr">
        <is>
          <t>AGIRC-ARRCO cadres</t>
        </is>
      </c>
    </row>
    <row r="4">
      <c r="A4" s="3" t="inlineStr">
        <is>
          <t>CSG déductible</t>
        </is>
      </c>
      <c r="B4" s="3" t="inlineStr">
        <is>
          <t>Salarié</t>
        </is>
      </c>
      <c r="C4" s="8" t="n">
        <v>0.068</v>
      </c>
      <c r="D4" s="8" t="n">
        <v>0</v>
      </c>
      <c r="E4" s="3" t="inlineStr">
        <is>
          <t>98,25 % du brut</t>
        </is>
      </c>
      <c r="F4" s="3" t="inlineStr">
        <is>
          <t>Non soumise à cotisations</t>
        </is>
      </c>
    </row>
    <row r="5">
      <c r="A5" s="9" t="inlineStr">
        <is>
          <t>CSG non déductible</t>
        </is>
      </c>
      <c r="B5" s="9" t="inlineStr">
        <is>
          <t>Salarié</t>
        </is>
      </c>
      <c r="C5" s="12" t="n">
        <v>0.029</v>
      </c>
      <c r="D5" s="12" t="n">
        <v>0</v>
      </c>
      <c r="E5" s="9" t="inlineStr">
        <is>
          <t>98,25 % du brut</t>
        </is>
      </c>
      <c r="F5" s="9" t="inlineStr">
        <is>
          <t>Non déductible du revenu imposable</t>
        </is>
      </c>
    </row>
    <row r="6">
      <c r="A6" s="3" t="inlineStr">
        <is>
          <t>Maladie</t>
        </is>
      </c>
      <c r="B6" s="3" t="inlineStr">
        <is>
          <t>Salarié + Patronal</t>
        </is>
      </c>
      <c r="C6" s="8" t="n">
        <v>0</v>
      </c>
      <c r="D6" s="8" t="n">
        <v>0.07000000000000001</v>
      </c>
      <c r="E6" s="3" t="inlineStr">
        <is>
          <t>Total brut</t>
        </is>
      </c>
      <c r="F6" s="3" t="inlineStr">
        <is>
          <t>Assurance maladie</t>
        </is>
      </c>
    </row>
    <row r="7">
      <c r="A7" s="9" t="inlineStr">
        <is>
          <t>Vieillesse (plaf. + déplaf.)</t>
        </is>
      </c>
      <c r="B7" s="9" t="inlineStr">
        <is>
          <t>Salarié + Patronal</t>
        </is>
      </c>
      <c r="C7" s="12" t="n">
        <v>0.073</v>
      </c>
      <c r="D7" s="12" t="n">
        <v>0.1057</v>
      </c>
      <c r="E7" s="9" t="inlineStr">
        <is>
          <t>Total brut</t>
        </is>
      </c>
      <c r="F7" s="9" t="inlineStr">
        <is>
          <t>Régime de base sécurité sociale</t>
        </is>
      </c>
    </row>
    <row r="8">
      <c r="A8" s="3" t="inlineStr">
        <is>
          <t>Prévoyance cadre</t>
        </is>
      </c>
      <c r="B8" s="3" t="inlineStr">
        <is>
          <t>Salarié + Patronal</t>
        </is>
      </c>
      <c r="C8" s="8" t="n">
        <v>0.015</v>
      </c>
      <c r="D8" s="8" t="n">
        <v>0.015</v>
      </c>
      <c r="E8" s="3" t="inlineStr">
        <is>
          <t>Total brut</t>
        </is>
      </c>
      <c r="F8" s="3" t="inlineStr">
        <is>
          <t>Obligatoire cadres (art. 7)</t>
        </is>
      </c>
    </row>
    <row r="9">
      <c r="A9" s="9" t="inlineStr">
        <is>
          <t>FNAL</t>
        </is>
      </c>
      <c r="B9" s="9" t="inlineStr">
        <is>
          <t>Patronal</t>
        </is>
      </c>
      <c r="C9" s="12" t="n">
        <v>0</v>
      </c>
      <c r="D9" s="12" t="n">
        <v>0.001</v>
      </c>
      <c r="E9" s="9" t="inlineStr">
        <is>
          <t>Total brut</t>
        </is>
      </c>
      <c r="F9" s="9" t="inlineStr">
        <is>
          <t>Fonds national d'aide au logement</t>
        </is>
      </c>
    </row>
    <row r="10">
      <c r="A10" s="3" t="inlineStr">
        <is>
          <t>Allocations familiales</t>
        </is>
      </c>
      <c r="B10" s="3" t="inlineStr">
        <is>
          <t>Patronal</t>
        </is>
      </c>
      <c r="C10" s="8" t="n">
        <v>0</v>
      </c>
      <c r="D10" s="8" t="n">
        <v>0.0525</v>
      </c>
      <c r="E10" s="3" t="inlineStr">
        <is>
          <t>Total brut</t>
        </is>
      </c>
      <c r="F10" s="3" t="inlineStr">
        <is>
          <t>Branche famille</t>
        </is>
      </c>
    </row>
    <row r="11">
      <c r="A11" s="9" t="inlineStr">
        <is>
          <t>Accident du travail</t>
        </is>
      </c>
      <c r="B11" s="9" t="inlineStr">
        <is>
          <t>Patronal</t>
        </is>
      </c>
      <c r="C11" s="12" t="n">
        <v>0</v>
      </c>
      <c r="D11" s="12" t="n">
        <v>0.012</v>
      </c>
      <c r="E11" s="9" t="inlineStr">
        <is>
          <t>Total brut</t>
        </is>
      </c>
      <c r="F11" s="9" t="inlineStr">
        <is>
          <t>Taux variable selon risque métier</t>
        </is>
      </c>
    </row>
    <row r="12">
      <c r="A12" s="3" t="inlineStr">
        <is>
          <t>PAS (Prélèvement à la source)</t>
        </is>
      </c>
      <c r="B12" s="3" t="inlineStr">
        <is>
          <t>Salarié</t>
        </is>
      </c>
      <c r="C12" s="8" t="n">
        <v>0</v>
      </c>
      <c r="D12" s="8" t="n">
        <v>0</v>
      </c>
      <c r="E12" s="3" t="inlineStr">
        <is>
          <t>Net imposable</t>
        </is>
      </c>
      <c r="F12" s="3" t="inlineStr">
        <is>
          <t>Taux propre à chaque salarié, voir Bulletin de paie</t>
        </is>
      </c>
    </row>
    <row r="13">
      <c r="A13" s="13" t="inlineStr">
        <is>
          <t>Taux total (indicatif)</t>
        </is>
      </c>
      <c r="B13" s="13" t="n"/>
      <c r="C13" s="15">
        <f>SUM(C3:C12)</f>
        <v/>
      </c>
      <c r="D13" s="15">
        <f>SUM(D3:D12)</f>
        <v/>
      </c>
      <c r="E13" s="13" t="n"/>
      <c r="F13" s="13" t="n"/>
    </row>
  </sheetData>
  <mergeCells count="1">
    <mergeCell ref="A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30" customWidth="1" min="1" max="1"/>
    <col width="20" customWidth="1" min="2" max="2"/>
    <col width="18" customWidth="1" min="3" max="3"/>
    <col width="18" customWidth="1" min="4" max="4"/>
    <col width="18" customWidth="1" min="5" max="5"/>
  </cols>
  <sheetData>
    <row r="1" ht="24" customHeight="1">
      <c r="A1" s="16" t="inlineStr">
        <is>
          <t>SYNTHÈSE MENSUELLE — SUIVI DE LA PAIE 2026</t>
        </is>
      </c>
    </row>
    <row r="3">
      <c r="A3" s="17" t="inlineStr">
        <is>
          <t>Indicateurs clés</t>
        </is>
      </c>
      <c r="B3" s="18" t="n"/>
    </row>
    <row r="4">
      <c r="A4" s="19" t="inlineStr">
        <is>
          <t>Masse salariale brute</t>
        </is>
      </c>
      <c r="B4" s="5">
        <f>SUM('Bulletin de paie'!S3:S12)</f>
        <v/>
      </c>
    </row>
    <row r="5">
      <c r="A5" s="20" t="inlineStr">
        <is>
          <t>Total cotisations salariales</t>
        </is>
      </c>
      <c r="B5" s="11">
        <f>SUM('Bulletin de paie'!Y3:Y12)</f>
        <v/>
      </c>
    </row>
    <row r="6">
      <c r="A6" s="19" t="inlineStr">
        <is>
          <t>Total cotisations patronales</t>
        </is>
      </c>
      <c r="B6" s="5">
        <f>SUM('Bulletin de paie'!AE3:AE12)</f>
        <v/>
      </c>
    </row>
    <row r="7">
      <c r="A7" s="20" t="inlineStr">
        <is>
          <t>Total net à payer</t>
        </is>
      </c>
      <c r="B7" s="11">
        <f>SUM('Bulletin de paie'!AJ3:AJ12)</f>
        <v/>
      </c>
    </row>
    <row r="8">
      <c r="A8" s="19" t="inlineStr">
        <is>
          <t>Coût total employeur</t>
        </is>
      </c>
      <c r="B8" s="5">
        <f>SUM('Bulletin de paie'!AK3:AK12)</f>
        <v/>
      </c>
    </row>
    <row r="9">
      <c r="A9" s="20" t="inlineStr">
        <is>
          <t>Salaire brut moyen</t>
        </is>
      </c>
      <c r="B9" s="11">
        <f>AVERAGE('Bulletin de paie'!S3:S12)</f>
        <v/>
      </c>
    </row>
    <row r="10">
      <c r="A10" s="19" t="inlineStr">
        <is>
          <t>Net moyen</t>
        </is>
      </c>
      <c r="B10" s="5">
        <f>AVERAGE('Bulletin de paie'!AJ3:AJ12)</f>
        <v/>
      </c>
    </row>
    <row r="11">
      <c r="A11" s="20" t="inlineStr">
        <is>
          <t>Taux moyen de charges patronales</t>
        </is>
      </c>
      <c r="B11" s="12">
        <f>IFERROR(SUM('Bulletin de paie'!AE3:AE12)/SUM('Bulletin de paie'!S3:S12),0)</f>
        <v/>
      </c>
    </row>
    <row r="12">
      <c r="A12" s="19" t="inlineStr">
        <is>
          <t>Nombre de bulletins à contrôler</t>
        </is>
      </c>
      <c r="B12" s="21">
        <f>COUNTIF('Bulletin de paie'!AP3:AP12,"À contrôler")</f>
        <v/>
      </c>
    </row>
    <row r="13">
      <c r="A13" s="20" t="inlineStr">
        <is>
          <t>Nombre de bulletins avec PAS nul</t>
        </is>
      </c>
      <c r="B13" s="22">
        <f>COUNTIF('Bulletin de paie'!AG3:AG12,0)</f>
        <v/>
      </c>
    </row>
    <row r="14">
      <c r="A14" s="23" t="inlineStr">
        <is>
          <t>Masse salariale mois précédent (à saisir)</t>
        </is>
      </c>
      <c r="B14" s="24" t="n">
        <v>140000</v>
      </c>
    </row>
    <row r="15">
      <c r="A15" s="23" t="inlineStr">
        <is>
          <t>Écart masse salariale vs mois précédent</t>
        </is>
      </c>
      <c r="B15" s="25">
        <f>IFERROR((B4-B14)/B14,0)</f>
        <v/>
      </c>
    </row>
    <row r="18">
      <c r="A18" s="17" t="inlineStr">
        <is>
          <t>Détail par salarié</t>
        </is>
      </c>
      <c r="B18" s="18" t="n"/>
      <c r="C18" s="18" t="n"/>
      <c r="D18" s="18" t="n"/>
      <c r="E18" s="18" t="n"/>
    </row>
    <row r="19">
      <c r="A19" s="2" t="inlineStr">
        <is>
          <t>Salarié</t>
        </is>
      </c>
      <c r="B19" s="2" t="inlineStr">
        <is>
          <t>Ville</t>
        </is>
      </c>
      <c r="C19" s="2" t="inlineStr">
        <is>
          <t>Total brut</t>
        </is>
      </c>
      <c r="D19" s="2" t="inlineStr">
        <is>
          <t>Net à payer</t>
        </is>
      </c>
      <c r="E19" s="2" t="inlineStr">
        <is>
          <t>Coût employeur</t>
        </is>
      </c>
    </row>
    <row r="20">
      <c r="A20" s="3">
        <f>'Bulletin de paie'!B3&amp;" "&amp;'Bulletin de paie'!C3</f>
        <v/>
      </c>
      <c r="B20" s="3">
        <f>'Bulletin de paie'!I3</f>
        <v/>
      </c>
      <c r="C20" s="26">
        <f>'Bulletin de paie'!S3</f>
        <v/>
      </c>
      <c r="D20" s="26">
        <f>'Bulletin de paie'!AJ3</f>
        <v/>
      </c>
      <c r="E20" s="26">
        <f>'Bulletin de paie'!AK3</f>
        <v/>
      </c>
    </row>
    <row r="21">
      <c r="A21" s="9">
        <f>'Bulletin de paie'!B4&amp;" "&amp;'Bulletin de paie'!C4</f>
        <v/>
      </c>
      <c r="B21" s="9">
        <f>'Bulletin de paie'!I4</f>
        <v/>
      </c>
      <c r="C21" s="27">
        <f>'Bulletin de paie'!S4</f>
        <v/>
      </c>
      <c r="D21" s="27">
        <f>'Bulletin de paie'!AJ4</f>
        <v/>
      </c>
      <c r="E21" s="27">
        <f>'Bulletin de paie'!AK4</f>
        <v/>
      </c>
    </row>
    <row r="22">
      <c r="A22" s="3">
        <f>'Bulletin de paie'!B5&amp;" "&amp;'Bulletin de paie'!C5</f>
        <v/>
      </c>
      <c r="B22" s="3">
        <f>'Bulletin de paie'!I5</f>
        <v/>
      </c>
      <c r="C22" s="26">
        <f>'Bulletin de paie'!S5</f>
        <v/>
      </c>
      <c r="D22" s="26">
        <f>'Bulletin de paie'!AJ5</f>
        <v/>
      </c>
      <c r="E22" s="26">
        <f>'Bulletin de paie'!AK5</f>
        <v/>
      </c>
    </row>
    <row r="23">
      <c r="A23" s="9">
        <f>'Bulletin de paie'!B6&amp;" "&amp;'Bulletin de paie'!C6</f>
        <v/>
      </c>
      <c r="B23" s="9">
        <f>'Bulletin de paie'!I6</f>
        <v/>
      </c>
      <c r="C23" s="27">
        <f>'Bulletin de paie'!S6</f>
        <v/>
      </c>
      <c r="D23" s="27">
        <f>'Bulletin de paie'!AJ6</f>
        <v/>
      </c>
      <c r="E23" s="27">
        <f>'Bulletin de paie'!AK6</f>
        <v/>
      </c>
    </row>
    <row r="24">
      <c r="A24" s="3">
        <f>'Bulletin de paie'!B7&amp;" "&amp;'Bulletin de paie'!C7</f>
        <v/>
      </c>
      <c r="B24" s="3">
        <f>'Bulletin de paie'!I7</f>
        <v/>
      </c>
      <c r="C24" s="26">
        <f>'Bulletin de paie'!S7</f>
        <v/>
      </c>
      <c r="D24" s="26">
        <f>'Bulletin de paie'!AJ7</f>
        <v/>
      </c>
      <c r="E24" s="26">
        <f>'Bulletin de paie'!AK7</f>
        <v/>
      </c>
    </row>
    <row r="25">
      <c r="A25" s="9">
        <f>'Bulletin de paie'!B8&amp;" "&amp;'Bulletin de paie'!C8</f>
        <v/>
      </c>
      <c r="B25" s="9">
        <f>'Bulletin de paie'!I8</f>
        <v/>
      </c>
      <c r="C25" s="27">
        <f>'Bulletin de paie'!S8</f>
        <v/>
      </c>
      <c r="D25" s="27">
        <f>'Bulletin de paie'!AJ8</f>
        <v/>
      </c>
      <c r="E25" s="27">
        <f>'Bulletin de paie'!AK8</f>
        <v/>
      </c>
    </row>
    <row r="26">
      <c r="A26" s="3">
        <f>'Bulletin de paie'!B9&amp;" "&amp;'Bulletin de paie'!C9</f>
        <v/>
      </c>
      <c r="B26" s="3">
        <f>'Bulletin de paie'!I9</f>
        <v/>
      </c>
      <c r="C26" s="26">
        <f>'Bulletin de paie'!S9</f>
        <v/>
      </c>
      <c r="D26" s="26">
        <f>'Bulletin de paie'!AJ9</f>
        <v/>
      </c>
      <c r="E26" s="26">
        <f>'Bulletin de paie'!AK9</f>
        <v/>
      </c>
    </row>
    <row r="27">
      <c r="A27" s="9">
        <f>'Bulletin de paie'!B10&amp;" "&amp;'Bulletin de paie'!C10</f>
        <v/>
      </c>
      <c r="B27" s="9">
        <f>'Bulletin de paie'!I10</f>
        <v/>
      </c>
      <c r="C27" s="27">
        <f>'Bulletin de paie'!S10</f>
        <v/>
      </c>
      <c r="D27" s="27">
        <f>'Bulletin de paie'!AJ10</f>
        <v/>
      </c>
      <c r="E27" s="27">
        <f>'Bulletin de paie'!AK10</f>
        <v/>
      </c>
    </row>
    <row r="28">
      <c r="A28" s="3">
        <f>'Bulletin de paie'!B11&amp;" "&amp;'Bulletin de paie'!C11</f>
        <v/>
      </c>
      <c r="B28" s="3">
        <f>'Bulletin de paie'!I11</f>
        <v/>
      </c>
      <c r="C28" s="26">
        <f>'Bulletin de paie'!S11</f>
        <v/>
      </c>
      <c r="D28" s="26">
        <f>'Bulletin de paie'!AJ11</f>
        <v/>
      </c>
      <c r="E28" s="26">
        <f>'Bulletin de paie'!AK11</f>
        <v/>
      </c>
    </row>
    <row r="29">
      <c r="A29" s="9">
        <f>'Bulletin de paie'!B12&amp;" "&amp;'Bulletin de paie'!C12</f>
        <v/>
      </c>
      <c r="B29" s="9">
        <f>'Bulletin de paie'!I12</f>
        <v/>
      </c>
      <c r="C29" s="27">
        <f>'Bulletin de paie'!S12</f>
        <v/>
      </c>
      <c r="D29" s="27">
        <f>'Bulletin de paie'!AJ12</f>
        <v/>
      </c>
      <c r="E29" s="27">
        <f>'Bulletin de paie'!AK12</f>
        <v/>
      </c>
    </row>
    <row r="32">
      <c r="A32" s="17" t="inlineStr">
        <is>
          <t>Répartition des cotisations salariales</t>
        </is>
      </c>
      <c r="B32" s="18" t="n"/>
    </row>
    <row r="33">
      <c r="A33" s="28" t="inlineStr">
        <is>
          <t>Rubrique</t>
        </is>
      </c>
      <c r="B33" s="28" t="inlineStr">
        <is>
          <t>Montant</t>
        </is>
      </c>
    </row>
    <row r="34">
      <c r="A34" s="29" t="inlineStr">
        <is>
          <t>Santé</t>
        </is>
      </c>
      <c r="B34" s="26">
        <f>SUM('Bulletin de paie'!T3:T12)</f>
        <v/>
      </c>
    </row>
    <row r="35">
      <c r="A35" s="30" t="inlineStr">
        <is>
          <t>Retraite</t>
        </is>
      </c>
      <c r="B35" s="27">
        <f>SUM('Bulletin de paie'!U3:U12)</f>
        <v/>
      </c>
    </row>
    <row r="36">
      <c r="A36" s="29" t="inlineStr">
        <is>
          <t>Prévoyance</t>
        </is>
      </c>
      <c r="B36" s="26">
        <f>SUM('Bulletin de paie'!V3:V12)</f>
        <v/>
      </c>
    </row>
    <row r="37">
      <c r="A37" s="30" t="inlineStr">
        <is>
          <t>CSG/CRDS</t>
        </is>
      </c>
      <c r="B37" s="27">
        <f>SUM('Bulletin de paie'!W3:W12)</f>
        <v/>
      </c>
    </row>
    <row r="38">
      <c r="A38" s="29" t="inlineStr">
        <is>
          <t>Autres retenues</t>
        </is>
      </c>
      <c r="B38" s="26">
        <f>SUM('Bulletin de paie'!X3:X12)</f>
        <v/>
      </c>
    </row>
  </sheetData>
  <mergeCells count="4">
    <mergeCell ref="A1:E1"/>
    <mergeCell ref="A3:B3"/>
    <mergeCell ref="A18:E18"/>
    <mergeCell ref="A32:B32"/>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5" customWidth="1" min="1" max="1"/>
    <col width="45" customWidth="1" min="2" max="2"/>
  </cols>
  <sheetData>
    <row r="1" ht="24" customHeight="1">
      <c r="A1" s="16" t="inlineStr">
        <is>
          <t>MODE D'EMPLOI — FICHE DE PAIE CADRE</t>
        </is>
      </c>
    </row>
    <row r="3">
      <c r="A3" s="17" t="inlineStr">
        <is>
          <t>1. Comment saisir un nouveau salarié</t>
        </is>
      </c>
      <c r="B3" s="18" t="n"/>
    </row>
    <row r="4" ht="60" customHeight="1">
      <c r="A4" s="31" t="inlineStr">
        <is>
          <t>Ajoutez une ligne dans la feuille 'Bulletin de paie'. Renseignez l'identité, la période, le salaire de base, les primes et avantages en nature. Les cotisations, le net imposable, le PAS et le net à payer se calculent automatiquement à partir des taux de la feuille 'Paramètres'.</t>
        </is>
      </c>
    </row>
    <row r="6">
      <c r="A6" s="17" t="inlineStr">
        <is>
          <t>2. Champs modifiables (fond jaune pâle)</t>
        </is>
      </c>
      <c r="B6" s="18" t="n"/>
    </row>
    <row r="7" ht="60" customHeight="1">
      <c r="A7" s="31" t="inlineStr">
        <is>
          <t>Seules les cellules à fond jaune pâle (#FFFBEB) sont destinées à la saisie manuelle : autres retenues, taux personnel de prélèvement à la source (PAS), et l'indicateur de masse salariale du mois précédent dans la feuille 'Synthèse mensuelle'. Les autres cellules contiennent des formules à ne pas écraser.</t>
        </is>
      </c>
    </row>
    <row r="9">
      <c r="A9" s="17" t="inlineStr">
        <is>
          <t>3. Signification des couleurs</t>
        </is>
      </c>
      <c r="B9" s="18" t="n"/>
    </row>
    <row r="10" ht="60" customHeight="1">
      <c r="A10" s="31" t="inlineStr">
        <is>
          <t>Violet (#4A2AA5) : en-têtes de colonnes. Violet clair (#5D3BC4) : sous-titres de section. Corail (#FF6B4A) : lignes de totaux et moyennes. Jaune pâle (#FFFBEB) : cellules de saisie libre. Vert : valeurs positives ou heures supplémentaires. Rouge : alertes (net négatif, anomalie détectée).</t>
        </is>
      </c>
    </row>
    <row r="12">
      <c r="A12" s="17" t="inlineStr">
        <is>
          <t>4. Rappels légaux essentiels</t>
        </is>
      </c>
      <c r="B12" s="18" t="n"/>
    </row>
    <row r="13" ht="60" customHeight="1">
      <c r="A13" s="31" t="inlineStr">
        <is>
          <t>Le bulletin de paie doit mentionner le salaire brut, le net imposable (base de calcul de l'impôt), le prélèvement à la source (PAS) et le net à payer. Le statut cadre et la convention collective applicable doivent figurer sur le bulletin, ainsi que les compteurs de congés payés (CP) et de RTT. L'établissement employeur doit être identifié par son SIRET (à compléter dans vos documents officiels, non simulé dans ce modèle).</t>
        </is>
      </c>
    </row>
    <row r="15">
      <c r="A15" s="17" t="inlineStr">
        <is>
          <t>5. Feuille 'Paramètres'</t>
        </is>
      </c>
      <c r="B15" s="18" t="n"/>
    </row>
    <row r="16" ht="60" customHeight="1">
      <c r="A16" s="31" t="inlineStr">
        <is>
          <t>Cette feuille centralise les taux de cotisations salariales et patronales utilisés par les formules RECHERCHEV (VLOOKUP) du bulletin. Modifiez ces taux chaque année en fonction de la réglementation en vigueur : toutes les fiches de paie se mettront à jour automatiquement.</t>
        </is>
      </c>
    </row>
    <row r="18">
      <c r="A18" s="17" t="inlineStr">
        <is>
          <t>6. Feuille 'Synthèse mensuelle'</t>
        </is>
      </c>
      <c r="B18" s="18" t="n"/>
    </row>
    <row r="19" ht="60" customHeight="1">
      <c r="A19" s="31" t="inlineStr">
        <is>
          <t>Cette feuille agrège automatiquement les données de tous les salariés : masse salariale, cotisations, coût employeur, et propose deux graphiques (net à payer et coût employeur par salarié) ainsi qu'un camembert de répartition des cotisations salariales.</t>
        </is>
      </c>
    </row>
  </sheetData>
  <mergeCells count="13">
    <mergeCell ref="A1:B1"/>
    <mergeCell ref="A3:B3"/>
    <mergeCell ref="A4:B4"/>
    <mergeCell ref="A6:B6"/>
    <mergeCell ref="A7:B7"/>
    <mergeCell ref="A9:B9"/>
    <mergeCell ref="A10:B10"/>
    <mergeCell ref="A12:B12"/>
    <mergeCell ref="A13:B13"/>
    <mergeCell ref="A15:B15"/>
    <mergeCell ref="A16:B16"/>
    <mergeCell ref="A18:B18"/>
    <mergeCell ref="A19:B1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2026-07-12T09:18:55Z</dcterms:created>
  <dcterms:modified xmlns:dcterms="http://purl.org/dc/terms/" xmlns:xsi="http://www.w3.org/2001/XMLSchema-instance" xsi:type="dcterms:W3CDTF">2026-07-12T09:18:55Z</dcterms:modified>
</cp:coreProperties>
</file>